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charts/chart2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0" yWindow="30" windowWidth="27000" windowHeight="12330"/>
  </bookViews>
  <sheets>
    <sheet name="Sculls" sheetId="1" r:id="rId1"/>
    <sheet name="Sweep" sheetId="2" r:id="rId2"/>
    <sheet name="Sheet3" sheetId="3" r:id="rId3"/>
  </sheets>
  <definedNames>
    <definedName name="_xlnm.Print_Area" localSheetId="0">Sculls!$A$14:$AH$26</definedName>
  </definedNames>
  <calcPr calcId="125725"/>
</workbook>
</file>

<file path=xl/calcChain.xml><?xml version="1.0" encoding="utf-8"?>
<calcChain xmlns="http://schemas.openxmlformats.org/spreadsheetml/2006/main">
  <c r="U273" i="1"/>
  <c r="U274"/>
  <c r="U275"/>
  <c r="U276"/>
  <c r="U277"/>
  <c r="U279"/>
  <c r="U280"/>
  <c r="U281"/>
  <c r="U282"/>
  <c r="U283"/>
  <c r="U278"/>
  <c r="AS148"/>
  <c r="AS147"/>
  <c r="AS146"/>
  <c r="AS145"/>
  <c r="AS144"/>
  <c r="AS143"/>
  <c r="AS142"/>
  <c r="AS141"/>
  <c r="AS140"/>
  <c r="AS139"/>
  <c r="AS138"/>
  <c r="AS118"/>
  <c r="AS117"/>
  <c r="AS116"/>
  <c r="AS115"/>
  <c r="AS114"/>
  <c r="AS113"/>
  <c r="AS112"/>
  <c r="AS111"/>
  <c r="AS110"/>
  <c r="AS109"/>
  <c r="AS108"/>
  <c r="AS88"/>
  <c r="AS87"/>
  <c r="AS86"/>
  <c r="AS85"/>
  <c r="AS84"/>
  <c r="AS83"/>
  <c r="AS82"/>
  <c r="AS81"/>
  <c r="AS80"/>
  <c r="AS79"/>
  <c r="AS78"/>
  <c r="AS49"/>
  <c r="AS50"/>
  <c r="AS51"/>
  <c r="AS52"/>
  <c r="AS53"/>
  <c r="AS54"/>
  <c r="AS55"/>
  <c r="AS56"/>
  <c r="AS57"/>
  <c r="AS58"/>
  <c r="AS48"/>
  <c r="AS178"/>
  <c r="AS177"/>
  <c r="AS176"/>
  <c r="AS175"/>
  <c r="AS174"/>
  <c r="AS173"/>
  <c r="AS172"/>
  <c r="AS171"/>
  <c r="AS170"/>
  <c r="AS169"/>
  <c r="AS168"/>
  <c r="AL208"/>
  <c r="AS207"/>
  <c r="AS206"/>
  <c r="AS205"/>
  <c r="AS204"/>
  <c r="AS203"/>
  <c r="AS202"/>
  <c r="AS201"/>
  <c r="AS200"/>
  <c r="AS199"/>
  <c r="AS198"/>
  <c r="AO238"/>
  <c r="AS237"/>
  <c r="AS236"/>
  <c r="AS235"/>
  <c r="AS234"/>
  <c r="AS233"/>
  <c r="AS232"/>
  <c r="AS231"/>
  <c r="AS230"/>
  <c r="AS229"/>
  <c r="AS228"/>
  <c r="AS268"/>
  <c r="AS267"/>
  <c r="AS266"/>
  <c r="AS265"/>
  <c r="AS264"/>
  <c r="AS263"/>
  <c r="AS262"/>
  <c r="AS261"/>
  <c r="AS260"/>
  <c r="AS259"/>
  <c r="AS258"/>
  <c r="AS289"/>
  <c r="AS290"/>
  <c r="AS291"/>
  <c r="AS292"/>
  <c r="AS293"/>
  <c r="AS294"/>
  <c r="AS295"/>
  <c r="AS296"/>
  <c r="AS297"/>
  <c r="AS298"/>
  <c r="AS288"/>
  <c r="X85"/>
  <c r="X86"/>
  <c r="X87"/>
  <c r="X88"/>
  <c r="X84"/>
  <c r="X79"/>
  <c r="X80"/>
  <c r="X81"/>
  <c r="X82"/>
  <c r="X78"/>
  <c r="X52"/>
  <c r="X51"/>
  <c r="X50"/>
  <c r="X49"/>
  <c r="X48"/>
  <c r="X54"/>
  <c r="X55"/>
  <c r="X56"/>
  <c r="X57"/>
  <c r="X58"/>
  <c r="AE23"/>
  <c r="AF23"/>
  <c r="AG23"/>
  <c r="AJ23"/>
  <c r="AI23"/>
  <c r="G23"/>
  <c r="S23"/>
  <c r="R23"/>
  <c r="Q23"/>
  <c r="P23"/>
  <c r="O23"/>
  <c r="N23"/>
  <c r="R292"/>
  <c r="R291"/>
  <c r="R290"/>
  <c r="R289"/>
  <c r="R288"/>
  <c r="R295"/>
  <c r="R296"/>
  <c r="R297"/>
  <c r="R298"/>
  <c r="R294"/>
  <c r="P292"/>
  <c r="P291"/>
  <c r="P290"/>
  <c r="P289"/>
  <c r="P288"/>
  <c r="P295"/>
  <c r="P296"/>
  <c r="P297"/>
  <c r="P298"/>
  <c r="P294"/>
  <c r="V278"/>
  <c r="T278"/>
  <c r="O278"/>
  <c r="P22"/>
  <c r="T243"/>
  <c r="T244"/>
  <c r="T245"/>
  <c r="T246"/>
  <c r="T247"/>
  <c r="T249"/>
  <c r="T250"/>
  <c r="T251"/>
  <c r="T252"/>
  <c r="T253"/>
  <c r="T248"/>
  <c r="Q243"/>
  <c r="Q244"/>
  <c r="Q245"/>
  <c r="Q246"/>
  <c r="Q247"/>
  <c r="Q248"/>
  <c r="Q250"/>
  <c r="Q251"/>
  <c r="Q252"/>
  <c r="Q253"/>
  <c r="Q249"/>
  <c r="AK287"/>
  <c r="T218"/>
  <c r="N243"/>
  <c r="N244"/>
  <c r="N245"/>
  <c r="N246"/>
  <c r="N247"/>
  <c r="N249"/>
  <c r="N250"/>
  <c r="N251"/>
  <c r="N252"/>
  <c r="N253"/>
  <c r="N248"/>
  <c r="H23"/>
  <c r="G24"/>
  <c r="F103" l="1"/>
  <c r="E103"/>
  <c r="V98"/>
  <c r="G103" l="1"/>
  <c r="V53" i="2"/>
  <c r="U48"/>
  <c r="U49"/>
  <c r="U50"/>
  <c r="U51"/>
  <c r="U52"/>
  <c r="U54"/>
  <c r="U55"/>
  <c r="U56"/>
  <c r="U57"/>
  <c r="U58"/>
  <c r="U53"/>
  <c r="T48"/>
  <c r="T49"/>
  <c r="T50"/>
  <c r="T51"/>
  <c r="T52"/>
  <c r="T54"/>
  <c r="T55"/>
  <c r="T56"/>
  <c r="T57"/>
  <c r="T58"/>
  <c r="T53"/>
  <c r="AI49"/>
  <c r="AI50"/>
  <c r="AI51"/>
  <c r="AI52"/>
  <c r="AI53"/>
  <c r="AI54"/>
  <c r="AI55"/>
  <c r="AI56"/>
  <c r="AI57"/>
  <c r="AI58"/>
  <c r="AI48"/>
  <c r="X53"/>
  <c r="Z53"/>
  <c r="Z58"/>
  <c r="W58"/>
  <c r="AA58"/>
  <c r="V58"/>
  <c r="AC58"/>
  <c r="AE58"/>
  <c r="AF58"/>
  <c r="Z57"/>
  <c r="W57"/>
  <c r="AA57"/>
  <c r="V57"/>
  <c r="AC57"/>
  <c r="AE57"/>
  <c r="AF57"/>
  <c r="Z56"/>
  <c r="W56"/>
  <c r="AA56"/>
  <c r="V56"/>
  <c r="AC56"/>
  <c r="AE56"/>
  <c r="AF56"/>
  <c r="Z55"/>
  <c r="W55"/>
  <c r="AA55"/>
  <c r="V55"/>
  <c r="AC55"/>
  <c r="AE55"/>
  <c r="AF55"/>
  <c r="Z54"/>
  <c r="W54"/>
  <c r="AA54"/>
  <c r="V54"/>
  <c r="AC54"/>
  <c r="AE54"/>
  <c r="AF54"/>
  <c r="AA53"/>
  <c r="AC53"/>
  <c r="AE53"/>
  <c r="AF53"/>
  <c r="Z52"/>
  <c r="W52"/>
  <c r="AA52"/>
  <c r="AC52"/>
  <c r="AE52"/>
  <c r="AF52"/>
  <c r="Z51"/>
  <c r="W51"/>
  <c r="AA51"/>
  <c r="AC51"/>
  <c r="AE51"/>
  <c r="AF51"/>
  <c r="Z50"/>
  <c r="W50"/>
  <c r="AA50"/>
  <c r="AC50"/>
  <c r="AE50"/>
  <c r="AF50"/>
  <c r="Z49"/>
  <c r="W49"/>
  <c r="AA49"/>
  <c r="AC49"/>
  <c r="AE49"/>
  <c r="AF49"/>
  <c r="Z48"/>
  <c r="W48"/>
  <c r="AA48"/>
  <c r="AC48"/>
  <c r="AE48"/>
  <c r="AF48"/>
  <c r="AD58"/>
  <c r="AD57"/>
  <c r="AD56"/>
  <c r="AD55"/>
  <c r="AD54"/>
  <c r="AD53"/>
  <c r="AD52"/>
  <c r="AD51"/>
  <c r="AD50"/>
  <c r="AD49"/>
  <c r="AD48"/>
  <c r="W53"/>
  <c r="R50"/>
  <c r="R58"/>
  <c r="R57"/>
  <c r="R56"/>
  <c r="R55"/>
  <c r="R54"/>
  <c r="R52"/>
  <c r="R51"/>
  <c r="R49"/>
  <c r="R48"/>
  <c r="M58"/>
  <c r="M57"/>
  <c r="M56"/>
  <c r="M55"/>
  <c r="M54"/>
  <c r="M53"/>
  <c r="M52"/>
  <c r="M51"/>
  <c r="M50"/>
  <c r="M49"/>
  <c r="M48"/>
  <c r="B43"/>
  <c r="B42"/>
  <c r="B41"/>
  <c r="B40"/>
  <c r="B39"/>
  <c r="B37"/>
  <c r="B36"/>
  <c r="B35"/>
  <c r="B34"/>
  <c r="B33"/>
  <c r="C43"/>
  <c r="J43"/>
  <c r="K43"/>
  <c r="C38"/>
  <c r="J38"/>
  <c r="K38"/>
  <c r="M43"/>
  <c r="C42"/>
  <c r="J42"/>
  <c r="K42"/>
  <c r="M42"/>
  <c r="C41"/>
  <c r="J41"/>
  <c r="K41"/>
  <c r="M41"/>
  <c r="C40"/>
  <c r="J40"/>
  <c r="K40"/>
  <c r="M40"/>
  <c r="C39"/>
  <c r="J39"/>
  <c r="K39"/>
  <c r="M39"/>
  <c r="M38"/>
  <c r="C37"/>
  <c r="J37"/>
  <c r="K37"/>
  <c r="M37"/>
  <c r="C36"/>
  <c r="J36"/>
  <c r="K36"/>
  <c r="M36"/>
  <c r="C35"/>
  <c r="J35"/>
  <c r="K35"/>
  <c r="M35"/>
  <c r="C34"/>
  <c r="J34"/>
  <c r="K34"/>
  <c r="M34"/>
  <c r="C33"/>
  <c r="J33"/>
  <c r="K33"/>
  <c r="M33"/>
  <c r="N43"/>
  <c r="N42"/>
  <c r="N41"/>
  <c r="N40"/>
  <c r="N39"/>
  <c r="N38"/>
  <c r="N37"/>
  <c r="N36"/>
  <c r="N35"/>
  <c r="N34"/>
  <c r="N33"/>
  <c r="O43"/>
  <c r="O42"/>
  <c r="O41"/>
  <c r="O40"/>
  <c r="O39"/>
  <c r="O38"/>
  <c r="O37"/>
  <c r="O36"/>
  <c r="O35"/>
  <c r="O34"/>
  <c r="O33"/>
  <c r="Q43"/>
  <c r="Q42"/>
  <c r="Q41"/>
  <c r="Q40"/>
  <c r="Q39"/>
  <c r="Q38"/>
  <c r="Q37"/>
  <c r="Q36"/>
  <c r="Q35"/>
  <c r="Q34"/>
  <c r="Q33"/>
  <c r="J53"/>
  <c r="F34"/>
  <c r="E34"/>
  <c r="I34"/>
  <c r="I49"/>
  <c r="F35"/>
  <c r="E35"/>
  <c r="I35"/>
  <c r="I50"/>
  <c r="F36"/>
  <c r="E36"/>
  <c r="I36"/>
  <c r="I51"/>
  <c r="F37"/>
  <c r="E37"/>
  <c r="I37"/>
  <c r="I52"/>
  <c r="I38"/>
  <c r="I53"/>
  <c r="F39"/>
  <c r="E39"/>
  <c r="I39"/>
  <c r="I54"/>
  <c r="F40"/>
  <c r="E40"/>
  <c r="I40"/>
  <c r="I55"/>
  <c r="F41"/>
  <c r="E41"/>
  <c r="I41"/>
  <c r="I56"/>
  <c r="F42"/>
  <c r="E42"/>
  <c r="I42"/>
  <c r="I57"/>
  <c r="F43"/>
  <c r="E43"/>
  <c r="I43"/>
  <c r="I58"/>
  <c r="F33"/>
  <c r="E33"/>
  <c r="I33"/>
  <c r="I48"/>
  <c r="P38"/>
  <c r="P43"/>
  <c r="AQ58"/>
  <c r="E53"/>
  <c r="B53"/>
  <c r="C53"/>
  <c r="F53"/>
  <c r="D53"/>
  <c r="K53"/>
  <c r="N53"/>
  <c r="Q53"/>
  <c r="S53"/>
  <c r="Y53"/>
  <c r="O53"/>
  <c r="F58"/>
  <c r="D58"/>
  <c r="E58"/>
  <c r="L58"/>
  <c r="L53"/>
  <c r="B58"/>
  <c r="P58"/>
  <c r="Q58"/>
  <c r="S58"/>
  <c r="Y58"/>
  <c r="AP58"/>
  <c r="AO58"/>
  <c r="AN58"/>
  <c r="AG58"/>
  <c r="AG53"/>
  <c r="AM58"/>
  <c r="AK58"/>
  <c r="AJ58"/>
  <c r="AH58"/>
  <c r="G58"/>
  <c r="C58"/>
  <c r="P42"/>
  <c r="AQ57"/>
  <c r="F57"/>
  <c r="D57"/>
  <c r="E57"/>
  <c r="L57"/>
  <c r="B57"/>
  <c r="P57"/>
  <c r="Q57"/>
  <c r="S57"/>
  <c r="Y57"/>
  <c r="AP57"/>
  <c r="AO57"/>
  <c r="AN57"/>
  <c r="AG57"/>
  <c r="AM57"/>
  <c r="AK57"/>
  <c r="AJ57"/>
  <c r="AH57"/>
  <c r="G57"/>
  <c r="C57"/>
  <c r="P41"/>
  <c r="AQ56"/>
  <c r="F56"/>
  <c r="D56"/>
  <c r="E56"/>
  <c r="L56"/>
  <c r="B56"/>
  <c r="P56"/>
  <c r="Q56"/>
  <c r="S56"/>
  <c r="Y56"/>
  <c r="AP56"/>
  <c r="AO56"/>
  <c r="AN56"/>
  <c r="AG56"/>
  <c r="AM56"/>
  <c r="AK56"/>
  <c r="AJ56"/>
  <c r="AH56"/>
  <c r="G56"/>
  <c r="C56"/>
  <c r="P40"/>
  <c r="AQ55"/>
  <c r="F55"/>
  <c r="D55"/>
  <c r="E55"/>
  <c r="L55"/>
  <c r="B55"/>
  <c r="P55"/>
  <c r="Q55"/>
  <c r="S55"/>
  <c r="Y55"/>
  <c r="AP55"/>
  <c r="AO55"/>
  <c r="AN55"/>
  <c r="AG55"/>
  <c r="AM55"/>
  <c r="AK55"/>
  <c r="AJ55"/>
  <c r="AH55"/>
  <c r="G55"/>
  <c r="C55"/>
  <c r="P39"/>
  <c r="AQ54"/>
  <c r="F54"/>
  <c r="D54"/>
  <c r="E54"/>
  <c r="L54"/>
  <c r="B54"/>
  <c r="P54"/>
  <c r="Q54"/>
  <c r="S54"/>
  <c r="Y54"/>
  <c r="AP54"/>
  <c r="AO54"/>
  <c r="AN54"/>
  <c r="AG54"/>
  <c r="AM54"/>
  <c r="AK54"/>
  <c r="AJ54"/>
  <c r="AH54"/>
  <c r="G54"/>
  <c r="C54"/>
  <c r="AQ53"/>
  <c r="AP53"/>
  <c r="AO53"/>
  <c r="AN53"/>
  <c r="AM53"/>
  <c r="AK53"/>
  <c r="AJ53"/>
  <c r="AH53"/>
  <c r="G53"/>
  <c r="P37"/>
  <c r="AQ52"/>
  <c r="F52"/>
  <c r="D52"/>
  <c r="E52"/>
  <c r="L52"/>
  <c r="B52"/>
  <c r="P52"/>
  <c r="Q52"/>
  <c r="S52"/>
  <c r="Y52"/>
  <c r="AP52"/>
  <c r="AO52"/>
  <c r="AN52"/>
  <c r="AG52"/>
  <c r="AM52"/>
  <c r="AK52"/>
  <c r="AJ52"/>
  <c r="AH52"/>
  <c r="G52"/>
  <c r="C52"/>
  <c r="P36"/>
  <c r="AQ51"/>
  <c r="F51"/>
  <c r="D51"/>
  <c r="E51"/>
  <c r="L51"/>
  <c r="B51"/>
  <c r="P51"/>
  <c r="Q51"/>
  <c r="S51"/>
  <c r="Y51"/>
  <c r="AP51"/>
  <c r="AO51"/>
  <c r="AN51"/>
  <c r="AG51"/>
  <c r="AM51"/>
  <c r="AK51"/>
  <c r="AJ51"/>
  <c r="AH51"/>
  <c r="G51"/>
  <c r="C51"/>
  <c r="P35"/>
  <c r="AQ50"/>
  <c r="F50"/>
  <c r="D50"/>
  <c r="E50"/>
  <c r="L50"/>
  <c r="B50"/>
  <c r="P50"/>
  <c r="Q50"/>
  <c r="S50"/>
  <c r="Y50"/>
  <c r="AP50"/>
  <c r="AO50"/>
  <c r="AN50"/>
  <c r="AG50"/>
  <c r="AM50"/>
  <c r="AK50"/>
  <c r="AJ50"/>
  <c r="AH50"/>
  <c r="G50"/>
  <c r="C50"/>
  <c r="P34"/>
  <c r="AQ49"/>
  <c r="F49"/>
  <c r="D49"/>
  <c r="E49"/>
  <c r="L49"/>
  <c r="B49"/>
  <c r="P49"/>
  <c r="Q49"/>
  <c r="S49"/>
  <c r="Y49"/>
  <c r="AP49"/>
  <c r="AO49"/>
  <c r="AN49"/>
  <c r="AG49"/>
  <c r="AM49"/>
  <c r="AK49"/>
  <c r="AJ49"/>
  <c r="AH49"/>
  <c r="G49"/>
  <c r="C49"/>
  <c r="P33"/>
  <c r="AQ48"/>
  <c r="F48"/>
  <c r="D48"/>
  <c r="E48"/>
  <c r="L48"/>
  <c r="B48"/>
  <c r="P48"/>
  <c r="Q48"/>
  <c r="S48"/>
  <c r="Y48"/>
  <c r="AP48"/>
  <c r="AO48"/>
  <c r="AN48"/>
  <c r="AG48"/>
  <c r="AM48"/>
  <c r="AK48"/>
  <c r="AJ48"/>
  <c r="AH48"/>
  <c r="G48"/>
  <c r="C48"/>
  <c r="AK47"/>
  <c r="AQ47"/>
  <c r="AP47"/>
  <c r="AO47"/>
  <c r="AN47"/>
  <c r="AG47"/>
  <c r="AM47"/>
  <c r="I70"/>
  <c r="G70"/>
  <c r="G75"/>
  <c r="G74"/>
  <c r="G73"/>
  <c r="G72"/>
  <c r="G71"/>
  <c r="G69"/>
  <c r="G68"/>
  <c r="G67"/>
  <c r="G66"/>
  <c r="G65"/>
  <c r="E75"/>
  <c r="F75"/>
  <c r="V75"/>
  <c r="E74"/>
  <c r="F74"/>
  <c r="V74"/>
  <c r="E73"/>
  <c r="F73"/>
  <c r="V73"/>
  <c r="E72"/>
  <c r="F72"/>
  <c r="V72"/>
  <c r="E71"/>
  <c r="F71"/>
  <c r="V71"/>
  <c r="V70"/>
  <c r="E69"/>
  <c r="F69"/>
  <c r="V69"/>
  <c r="E68"/>
  <c r="F68"/>
  <c r="V68"/>
  <c r="E67"/>
  <c r="F67"/>
  <c r="V67"/>
  <c r="E66"/>
  <c r="F66"/>
  <c r="V66"/>
  <c r="E65"/>
  <c r="F65"/>
  <c r="V65"/>
  <c r="I75"/>
  <c r="Q75"/>
  <c r="AQ75"/>
  <c r="B75"/>
  <c r="C75"/>
  <c r="J75"/>
  <c r="AP75"/>
  <c r="AO75"/>
  <c r="K75"/>
  <c r="AN75"/>
  <c r="AG75"/>
  <c r="AG38"/>
  <c r="AM75"/>
  <c r="AK75"/>
  <c r="O75"/>
  <c r="AJ75"/>
  <c r="N75"/>
  <c r="AI75"/>
  <c r="M75"/>
  <c r="AH75"/>
  <c r="T75"/>
  <c r="S75"/>
  <c r="R75"/>
  <c r="I74"/>
  <c r="Q74"/>
  <c r="AQ74"/>
  <c r="B74"/>
  <c r="C74"/>
  <c r="J74"/>
  <c r="AP74"/>
  <c r="AO74"/>
  <c r="K74"/>
  <c r="AN74"/>
  <c r="AG74"/>
  <c r="AM74"/>
  <c r="AK74"/>
  <c r="O74"/>
  <c r="AJ74"/>
  <c r="N74"/>
  <c r="AI74"/>
  <c r="M74"/>
  <c r="AH74"/>
  <c r="T74"/>
  <c r="S74"/>
  <c r="R74"/>
  <c r="I73"/>
  <c r="Q73"/>
  <c r="AQ73"/>
  <c r="B73"/>
  <c r="C73"/>
  <c r="J73"/>
  <c r="AP73"/>
  <c r="AO73"/>
  <c r="K73"/>
  <c r="AN73"/>
  <c r="AG73"/>
  <c r="AM73"/>
  <c r="AK73"/>
  <c r="O73"/>
  <c r="AJ73"/>
  <c r="N73"/>
  <c r="AI73"/>
  <c r="M73"/>
  <c r="AH73"/>
  <c r="T73"/>
  <c r="S73"/>
  <c r="R73"/>
  <c r="I72"/>
  <c r="Q72"/>
  <c r="AQ72"/>
  <c r="B72"/>
  <c r="C72"/>
  <c r="J72"/>
  <c r="AP72"/>
  <c r="AO72"/>
  <c r="K72"/>
  <c r="AN72"/>
  <c r="AG72"/>
  <c r="AM72"/>
  <c r="AK72"/>
  <c r="O72"/>
  <c r="AJ72"/>
  <c r="N72"/>
  <c r="AI72"/>
  <c r="M72"/>
  <c r="AH72"/>
  <c r="T72"/>
  <c r="S72"/>
  <c r="R72"/>
  <c r="I71"/>
  <c r="Q71"/>
  <c r="AQ71"/>
  <c r="C71"/>
  <c r="J71"/>
  <c r="AP71"/>
  <c r="AO71"/>
  <c r="K71"/>
  <c r="AN71"/>
  <c r="AG71"/>
  <c r="AM71"/>
  <c r="AK71"/>
  <c r="O71"/>
  <c r="AJ71"/>
  <c r="N71"/>
  <c r="AI71"/>
  <c r="M71"/>
  <c r="AH71"/>
  <c r="T71"/>
  <c r="S71"/>
  <c r="R71"/>
  <c r="B71"/>
  <c r="Q70"/>
  <c r="AQ70"/>
  <c r="C70"/>
  <c r="J70"/>
  <c r="AP70"/>
  <c r="AO70"/>
  <c r="K70"/>
  <c r="AN70"/>
  <c r="AG70"/>
  <c r="AM70"/>
  <c r="AK70"/>
  <c r="O70"/>
  <c r="AJ70"/>
  <c r="N70"/>
  <c r="AI70"/>
  <c r="M70"/>
  <c r="AH70"/>
  <c r="T70"/>
  <c r="S70"/>
  <c r="R70"/>
  <c r="I69"/>
  <c r="Q69"/>
  <c r="AQ69"/>
  <c r="B69"/>
  <c r="C69"/>
  <c r="J69"/>
  <c r="AP69"/>
  <c r="AO69"/>
  <c r="K69"/>
  <c r="AN69"/>
  <c r="AG69"/>
  <c r="AM69"/>
  <c r="AK69"/>
  <c r="O69"/>
  <c r="AJ69"/>
  <c r="N69"/>
  <c r="AI69"/>
  <c r="M69"/>
  <c r="AH69"/>
  <c r="T69"/>
  <c r="S69"/>
  <c r="R69"/>
  <c r="I68"/>
  <c r="Q68"/>
  <c r="AQ68"/>
  <c r="B68"/>
  <c r="C68"/>
  <c r="J68"/>
  <c r="AP68"/>
  <c r="AO68"/>
  <c r="K68"/>
  <c r="AN68"/>
  <c r="AG68"/>
  <c r="AM68"/>
  <c r="AK68"/>
  <c r="O68"/>
  <c r="AJ68"/>
  <c r="N68"/>
  <c r="AI68"/>
  <c r="M68"/>
  <c r="AH68"/>
  <c r="T68"/>
  <c r="S68"/>
  <c r="R68"/>
  <c r="I67"/>
  <c r="Q67"/>
  <c r="AQ67"/>
  <c r="B67"/>
  <c r="C67"/>
  <c r="J67"/>
  <c r="AP67"/>
  <c r="AO67"/>
  <c r="K67"/>
  <c r="AN67"/>
  <c r="AG67"/>
  <c r="AM67"/>
  <c r="AK67"/>
  <c r="O67"/>
  <c r="AJ67"/>
  <c r="N67"/>
  <c r="AI67"/>
  <c r="M67"/>
  <c r="AH67"/>
  <c r="T67"/>
  <c r="S67"/>
  <c r="R67"/>
  <c r="I66"/>
  <c r="Q66"/>
  <c r="AQ66"/>
  <c r="B66"/>
  <c r="C66"/>
  <c r="J66"/>
  <c r="AP66"/>
  <c r="AO66"/>
  <c r="K66"/>
  <c r="AN66"/>
  <c r="AG66"/>
  <c r="AM66"/>
  <c r="AK66"/>
  <c r="O66"/>
  <c r="AJ66"/>
  <c r="N66"/>
  <c r="AI66"/>
  <c r="M66"/>
  <c r="AH66"/>
  <c r="T66"/>
  <c r="S66"/>
  <c r="R66"/>
  <c r="I65"/>
  <c r="Q65"/>
  <c r="AQ65"/>
  <c r="B65"/>
  <c r="C65"/>
  <c r="J65"/>
  <c r="AP65"/>
  <c r="AO65"/>
  <c r="K65"/>
  <c r="AN65"/>
  <c r="AG65"/>
  <c r="AM65"/>
  <c r="AK65"/>
  <c r="O65"/>
  <c r="AJ65"/>
  <c r="N65"/>
  <c r="AI65"/>
  <c r="M65"/>
  <c r="AH65"/>
  <c r="T65"/>
  <c r="S65"/>
  <c r="R65"/>
  <c r="AK64"/>
  <c r="AQ64"/>
  <c r="AP64"/>
  <c r="AO64"/>
  <c r="AN64"/>
  <c r="AG64"/>
  <c r="AM64"/>
  <c r="S33"/>
  <c r="S34"/>
  <c r="S35"/>
  <c r="S36"/>
  <c r="S37"/>
  <c r="S39"/>
  <c r="S40"/>
  <c r="S41"/>
  <c r="S42"/>
  <c r="S43"/>
  <c r="S38"/>
  <c r="V33"/>
  <c r="V34"/>
  <c r="V35"/>
  <c r="V36"/>
  <c r="V37"/>
  <c r="V39"/>
  <c r="V40"/>
  <c r="V41"/>
  <c r="V42"/>
  <c r="V43"/>
  <c r="V38"/>
  <c r="F273" i="1"/>
  <c r="F274"/>
  <c r="AK289" s="1"/>
  <c r="F275"/>
  <c r="F290" s="1"/>
  <c r="F276"/>
  <c r="F291" s="1"/>
  <c r="F277"/>
  <c r="F279"/>
  <c r="AK294" s="1"/>
  <c r="F280"/>
  <c r="F295" s="1"/>
  <c r="F281"/>
  <c r="AK281" s="1"/>
  <c r="F282"/>
  <c r="F297" s="1"/>
  <c r="F283"/>
  <c r="AK283" s="1"/>
  <c r="D283"/>
  <c r="T283" s="1"/>
  <c r="H283"/>
  <c r="AG283" s="1"/>
  <c r="B263"/>
  <c r="C263" s="1"/>
  <c r="B283"/>
  <c r="D282"/>
  <c r="T282" s="1"/>
  <c r="H282"/>
  <c r="B282"/>
  <c r="AG297"/>
  <c r="D281"/>
  <c r="T281" s="1"/>
  <c r="H281"/>
  <c r="AG296" s="1"/>
  <c r="B281"/>
  <c r="C281" s="1"/>
  <c r="D280"/>
  <c r="T280" s="1"/>
  <c r="H280"/>
  <c r="AG295" s="1"/>
  <c r="B280"/>
  <c r="B295" s="1"/>
  <c r="D279"/>
  <c r="T279" s="1"/>
  <c r="H279"/>
  <c r="AG294" s="1"/>
  <c r="B279"/>
  <c r="B294" s="1"/>
  <c r="G278"/>
  <c r="AK293"/>
  <c r="F293"/>
  <c r="D293"/>
  <c r="E293"/>
  <c r="B293"/>
  <c r="C293" s="1"/>
  <c r="AG293"/>
  <c r="I278"/>
  <c r="D277"/>
  <c r="T277" s="1"/>
  <c r="H277"/>
  <c r="AG277" s="1"/>
  <c r="F292"/>
  <c r="B277"/>
  <c r="B292" s="1"/>
  <c r="D276"/>
  <c r="T276" s="1"/>
  <c r="H276"/>
  <c r="AG276" s="1"/>
  <c r="B276"/>
  <c r="B291" s="1"/>
  <c r="AG291"/>
  <c r="C291"/>
  <c r="D275"/>
  <c r="T275" s="1"/>
  <c r="H275"/>
  <c r="AG290" s="1"/>
  <c r="AK275"/>
  <c r="B275"/>
  <c r="B290" s="1"/>
  <c r="C290" s="1"/>
  <c r="D274"/>
  <c r="T274" s="1"/>
  <c r="H274"/>
  <c r="AG274" s="1"/>
  <c r="B274"/>
  <c r="B289" s="1"/>
  <c r="D273"/>
  <c r="T273" s="1"/>
  <c r="H273"/>
  <c r="AG273" s="1"/>
  <c r="B273"/>
  <c r="B288" s="1"/>
  <c r="AL287"/>
  <c r="AG287"/>
  <c r="C248"/>
  <c r="J248" s="1"/>
  <c r="AG282"/>
  <c r="AG281"/>
  <c r="C278"/>
  <c r="J278" s="1"/>
  <c r="AG278"/>
  <c r="C274"/>
  <c r="AL272"/>
  <c r="AG272"/>
  <c r="P142"/>
  <c r="P141"/>
  <c r="P140"/>
  <c r="P139"/>
  <c r="P138"/>
  <c r="P145"/>
  <c r="P146"/>
  <c r="P147"/>
  <c r="P148"/>
  <c r="P144"/>
  <c r="R142"/>
  <c r="R141"/>
  <c r="R140"/>
  <c r="R139"/>
  <c r="R138"/>
  <c r="R145"/>
  <c r="R146"/>
  <c r="R147"/>
  <c r="R148"/>
  <c r="R144"/>
  <c r="P208"/>
  <c r="P207"/>
  <c r="P206"/>
  <c r="P205"/>
  <c r="P204"/>
  <c r="P198"/>
  <c r="P199"/>
  <c r="P200"/>
  <c r="P201"/>
  <c r="P202"/>
  <c r="R208"/>
  <c r="R207"/>
  <c r="R206"/>
  <c r="R205"/>
  <c r="R204"/>
  <c r="R198"/>
  <c r="R199"/>
  <c r="R200"/>
  <c r="R201"/>
  <c r="R202"/>
  <c r="P268"/>
  <c r="P267"/>
  <c r="P266"/>
  <c r="P265"/>
  <c r="P264"/>
  <c r="P258"/>
  <c r="P259"/>
  <c r="P260"/>
  <c r="P261"/>
  <c r="P262"/>
  <c r="R268"/>
  <c r="R267"/>
  <c r="R266"/>
  <c r="R265"/>
  <c r="R264"/>
  <c r="R258"/>
  <c r="R259"/>
  <c r="R260"/>
  <c r="R261"/>
  <c r="R262"/>
  <c r="B243"/>
  <c r="B258" s="1"/>
  <c r="C258" s="1"/>
  <c r="B244"/>
  <c r="B259" s="1"/>
  <c r="B245"/>
  <c r="C245" s="1"/>
  <c r="B246"/>
  <c r="C246" s="1"/>
  <c r="B247"/>
  <c r="B262" s="1"/>
  <c r="B249"/>
  <c r="B264" s="1"/>
  <c r="B250"/>
  <c r="C250" s="1"/>
  <c r="B251"/>
  <c r="C251" s="1"/>
  <c r="B252"/>
  <c r="B267" s="1"/>
  <c r="C267" s="1"/>
  <c r="B253"/>
  <c r="B268" s="1"/>
  <c r="AL257"/>
  <c r="C218"/>
  <c r="J218" s="1"/>
  <c r="O218" s="1"/>
  <c r="AJ218" s="1"/>
  <c r="C188"/>
  <c r="J188" s="1"/>
  <c r="C158"/>
  <c r="J158" s="1"/>
  <c r="C128"/>
  <c r="C98"/>
  <c r="J98" s="1"/>
  <c r="O98" s="1"/>
  <c r="AJ98" s="1"/>
  <c r="C68"/>
  <c r="B193"/>
  <c r="C193" s="1"/>
  <c r="B192"/>
  <c r="C192" s="1"/>
  <c r="B191"/>
  <c r="C191" s="1"/>
  <c r="B190"/>
  <c r="C190" s="1"/>
  <c r="B189"/>
  <c r="C189" s="1"/>
  <c r="B187"/>
  <c r="C187" s="1"/>
  <c r="B186"/>
  <c r="C186" s="1"/>
  <c r="B185"/>
  <c r="C185" s="1"/>
  <c r="B184"/>
  <c r="C184" s="1"/>
  <c r="B183"/>
  <c r="C183" s="1"/>
  <c r="B163"/>
  <c r="C163" s="1"/>
  <c r="B162"/>
  <c r="C162" s="1"/>
  <c r="B161"/>
  <c r="C161" s="1"/>
  <c r="B160"/>
  <c r="C160" s="1"/>
  <c r="B159"/>
  <c r="C159" s="1"/>
  <c r="B157"/>
  <c r="C157" s="1"/>
  <c r="B156"/>
  <c r="C156" s="1"/>
  <c r="B155"/>
  <c r="C155" s="1"/>
  <c r="B154"/>
  <c r="C154" s="1"/>
  <c r="B153"/>
  <c r="C153" s="1"/>
  <c r="B133"/>
  <c r="C133" s="1"/>
  <c r="B132"/>
  <c r="C132" s="1"/>
  <c r="B131"/>
  <c r="C131" s="1"/>
  <c r="B130"/>
  <c r="C130" s="1"/>
  <c r="B129"/>
  <c r="C129" s="1"/>
  <c r="B127"/>
  <c r="C127" s="1"/>
  <c r="B126"/>
  <c r="C126" s="1"/>
  <c r="B125"/>
  <c r="C125" s="1"/>
  <c r="B124"/>
  <c r="C124" s="1"/>
  <c r="B123"/>
  <c r="C123" s="1"/>
  <c r="B103"/>
  <c r="C103" s="1"/>
  <c r="B102"/>
  <c r="C102" s="1"/>
  <c r="B101"/>
  <c r="C101" s="1"/>
  <c r="B100"/>
  <c r="C100" s="1"/>
  <c r="B99"/>
  <c r="C99" s="1"/>
  <c r="B97"/>
  <c r="C97" s="1"/>
  <c r="B96"/>
  <c r="C96" s="1"/>
  <c r="B95"/>
  <c r="C95" s="1"/>
  <c r="B94"/>
  <c r="C94" s="1"/>
  <c r="B93"/>
  <c r="C93" s="1"/>
  <c r="B73"/>
  <c r="C73" s="1"/>
  <c r="B72"/>
  <c r="C72" s="1"/>
  <c r="B71"/>
  <c r="C71" s="1"/>
  <c r="B70"/>
  <c r="C70" s="1"/>
  <c r="B69"/>
  <c r="B84" s="1"/>
  <c r="C84" s="1"/>
  <c r="B67"/>
  <c r="C67" s="1"/>
  <c r="B66"/>
  <c r="C66" s="1"/>
  <c r="B65"/>
  <c r="C65" s="1"/>
  <c r="B64"/>
  <c r="B79" s="1"/>
  <c r="C79" s="1"/>
  <c r="B63"/>
  <c r="C63" s="1"/>
  <c r="B43"/>
  <c r="C43" s="1"/>
  <c r="B42"/>
  <c r="B57" s="1"/>
  <c r="B41"/>
  <c r="C41" s="1"/>
  <c r="B40"/>
  <c r="B55" s="1"/>
  <c r="B39"/>
  <c r="C39" s="1"/>
  <c r="B37"/>
  <c r="B52" s="1"/>
  <c r="B36"/>
  <c r="C36" s="1"/>
  <c r="B35"/>
  <c r="C35" s="1"/>
  <c r="B34"/>
  <c r="B49" s="1"/>
  <c r="C49" s="1"/>
  <c r="B33"/>
  <c r="C33" s="1"/>
  <c r="B223"/>
  <c r="C219" s="1"/>
  <c r="B222"/>
  <c r="C222" s="1"/>
  <c r="B221"/>
  <c r="C221" s="1"/>
  <c r="B220"/>
  <c r="B235" s="1"/>
  <c r="B219"/>
  <c r="B234" s="1"/>
  <c r="C234" s="1"/>
  <c r="B217"/>
  <c r="C217" s="1"/>
  <c r="B216"/>
  <c r="C216" s="1"/>
  <c r="B215"/>
  <c r="B230" s="1"/>
  <c r="B214"/>
  <c r="C214" s="1"/>
  <c r="B213"/>
  <c r="C213" s="1"/>
  <c r="O248"/>
  <c r="AJ248" s="1"/>
  <c r="B233"/>
  <c r="Q233" s="1"/>
  <c r="S233" s="1"/>
  <c r="C233"/>
  <c r="B237"/>
  <c r="C237" s="1"/>
  <c r="AK257"/>
  <c r="AL242"/>
  <c r="AK242"/>
  <c r="U248"/>
  <c r="AK248" s="1"/>
  <c r="AG248"/>
  <c r="AG242"/>
  <c r="D249"/>
  <c r="D264" s="1"/>
  <c r="D250"/>
  <c r="D265" s="1"/>
  <c r="D251"/>
  <c r="D252"/>
  <c r="D253"/>
  <c r="D268" s="1"/>
  <c r="D243"/>
  <c r="D258" s="1"/>
  <c r="D244"/>
  <c r="D245"/>
  <c r="D246"/>
  <c r="D261" s="1"/>
  <c r="D247"/>
  <c r="E253"/>
  <c r="E268" s="1"/>
  <c r="H253"/>
  <c r="AG253" s="1"/>
  <c r="E252"/>
  <c r="H252"/>
  <c r="AG252" s="1"/>
  <c r="E251"/>
  <c r="E266" s="1"/>
  <c r="H251"/>
  <c r="AG251" s="1"/>
  <c r="E250"/>
  <c r="H250"/>
  <c r="AG250" s="1"/>
  <c r="E249"/>
  <c r="E264" s="1"/>
  <c r="H249"/>
  <c r="AG249" s="1"/>
  <c r="F263"/>
  <c r="D263"/>
  <c r="E263"/>
  <c r="B173"/>
  <c r="Q173" s="1"/>
  <c r="S173" s="1"/>
  <c r="AG263"/>
  <c r="I248"/>
  <c r="P248" s="1"/>
  <c r="G248"/>
  <c r="E247"/>
  <c r="H247"/>
  <c r="AG247" s="1"/>
  <c r="E246"/>
  <c r="E261" s="1"/>
  <c r="H246"/>
  <c r="AG246" s="1"/>
  <c r="E245"/>
  <c r="J245" s="1"/>
  <c r="H245"/>
  <c r="AG260" s="1"/>
  <c r="D260"/>
  <c r="E244"/>
  <c r="E259" s="1"/>
  <c r="H244"/>
  <c r="AG244" s="1"/>
  <c r="E243"/>
  <c r="H243"/>
  <c r="AG243" s="1"/>
  <c r="AG257"/>
  <c r="F244" i="2"/>
  <c r="E244"/>
  <c r="I239"/>
  <c r="P239"/>
  <c r="H244"/>
  <c r="P244"/>
  <c r="I244"/>
  <c r="D244"/>
  <c r="T244"/>
  <c r="AK259"/>
  <c r="F259"/>
  <c r="D259"/>
  <c r="E259"/>
  <c r="H259"/>
  <c r="E254"/>
  <c r="B254"/>
  <c r="C254"/>
  <c r="I254"/>
  <c r="F254"/>
  <c r="D254"/>
  <c r="H254"/>
  <c r="J254"/>
  <c r="N254"/>
  <c r="Q254"/>
  <c r="S254"/>
  <c r="W254"/>
  <c r="O254"/>
  <c r="T254"/>
  <c r="V254"/>
  <c r="X254"/>
  <c r="L259"/>
  <c r="F192"/>
  <c r="D192"/>
  <c r="E192"/>
  <c r="H192"/>
  <c r="L192"/>
  <c r="M259"/>
  <c r="X259"/>
  <c r="B244"/>
  <c r="B259"/>
  <c r="P259"/>
  <c r="Q259"/>
  <c r="R259"/>
  <c r="S259"/>
  <c r="U259"/>
  <c r="Y259"/>
  <c r="Z259"/>
  <c r="W259"/>
  <c r="AA259"/>
  <c r="AB259"/>
  <c r="AE259"/>
  <c r="AJ259"/>
  <c r="K259"/>
  <c r="AI259"/>
  <c r="U254"/>
  <c r="Y254"/>
  <c r="Z254"/>
  <c r="AA254"/>
  <c r="AB254"/>
  <c r="AC259"/>
  <c r="AH259"/>
  <c r="AG259"/>
  <c r="AD259"/>
  <c r="T259"/>
  <c r="G244"/>
  <c r="G259"/>
  <c r="C259"/>
  <c r="F243"/>
  <c r="E243"/>
  <c r="H243"/>
  <c r="P243"/>
  <c r="I243"/>
  <c r="D243"/>
  <c r="T243"/>
  <c r="AK258"/>
  <c r="F258"/>
  <c r="D258"/>
  <c r="E258"/>
  <c r="H258"/>
  <c r="L258"/>
  <c r="M258"/>
  <c r="X258"/>
  <c r="B243"/>
  <c r="B258"/>
  <c r="P258"/>
  <c r="Q258"/>
  <c r="R258"/>
  <c r="S258"/>
  <c r="U258"/>
  <c r="Y258"/>
  <c r="Z258"/>
  <c r="W258"/>
  <c r="AA258"/>
  <c r="AB258"/>
  <c r="AE258"/>
  <c r="AJ258"/>
  <c r="K258"/>
  <c r="AI258"/>
  <c r="AC258"/>
  <c r="AH258"/>
  <c r="AG258"/>
  <c r="AD258"/>
  <c r="T258"/>
  <c r="G243"/>
  <c r="G258"/>
  <c r="C258"/>
  <c r="F242"/>
  <c r="E242"/>
  <c r="H242"/>
  <c r="P242"/>
  <c r="I242"/>
  <c r="D242"/>
  <c r="T242"/>
  <c r="AK257"/>
  <c r="F257"/>
  <c r="D257"/>
  <c r="E257"/>
  <c r="H257"/>
  <c r="L257"/>
  <c r="M257"/>
  <c r="X257"/>
  <c r="B242"/>
  <c r="B257"/>
  <c r="P257"/>
  <c r="Q257"/>
  <c r="R257"/>
  <c r="S257"/>
  <c r="U257"/>
  <c r="Y257"/>
  <c r="Z257"/>
  <c r="W257"/>
  <c r="AA257"/>
  <c r="AB257"/>
  <c r="AE257"/>
  <c r="AJ257"/>
  <c r="K257"/>
  <c r="AI257"/>
  <c r="AC257"/>
  <c r="AH257"/>
  <c r="AG257"/>
  <c r="AD257"/>
  <c r="T257"/>
  <c r="G242"/>
  <c r="G257"/>
  <c r="C257"/>
  <c r="F241"/>
  <c r="E241"/>
  <c r="H241"/>
  <c r="P241"/>
  <c r="I241"/>
  <c r="D241"/>
  <c r="T241"/>
  <c r="AK256"/>
  <c r="F256"/>
  <c r="D256"/>
  <c r="E256"/>
  <c r="H256"/>
  <c r="L256"/>
  <c r="M256"/>
  <c r="X256"/>
  <c r="B241"/>
  <c r="B256"/>
  <c r="P256"/>
  <c r="Q256"/>
  <c r="R256"/>
  <c r="S256"/>
  <c r="U256"/>
  <c r="Y256"/>
  <c r="Z256"/>
  <c r="W256"/>
  <c r="AA256"/>
  <c r="AB256"/>
  <c r="AE256"/>
  <c r="AJ256"/>
  <c r="K256"/>
  <c r="AI256"/>
  <c r="AC256"/>
  <c r="AH256"/>
  <c r="AG256"/>
  <c r="AD256"/>
  <c r="T256"/>
  <c r="G241"/>
  <c r="G256"/>
  <c r="C256"/>
  <c r="F240"/>
  <c r="E240"/>
  <c r="H240"/>
  <c r="P240"/>
  <c r="I240"/>
  <c r="D240"/>
  <c r="T240"/>
  <c r="AK255"/>
  <c r="F255"/>
  <c r="D255"/>
  <c r="E255"/>
  <c r="H255"/>
  <c r="L255"/>
  <c r="M255"/>
  <c r="X255"/>
  <c r="B240"/>
  <c r="B255"/>
  <c r="P255"/>
  <c r="Q255"/>
  <c r="R255"/>
  <c r="S255"/>
  <c r="U255"/>
  <c r="Y255"/>
  <c r="Z255"/>
  <c r="W255"/>
  <c r="AA255"/>
  <c r="AB255"/>
  <c r="AE255"/>
  <c r="AJ255"/>
  <c r="K255"/>
  <c r="AI255"/>
  <c r="AC255"/>
  <c r="AH255"/>
  <c r="AG255"/>
  <c r="AD255"/>
  <c r="T255"/>
  <c r="G240"/>
  <c r="G255"/>
  <c r="C255"/>
  <c r="T239"/>
  <c r="AK254"/>
  <c r="B192"/>
  <c r="C192"/>
  <c r="I192"/>
  <c r="AE254"/>
  <c r="AJ254"/>
  <c r="K254"/>
  <c r="AI254"/>
  <c r="J192"/>
  <c r="N192"/>
  <c r="Q192"/>
  <c r="S192"/>
  <c r="W192"/>
  <c r="O192"/>
  <c r="T192"/>
  <c r="V192"/>
  <c r="X192"/>
  <c r="U192"/>
  <c r="Y192"/>
  <c r="Z192"/>
  <c r="AA192"/>
  <c r="AB192"/>
  <c r="AC254"/>
  <c r="AH254"/>
  <c r="AG254"/>
  <c r="AD254"/>
  <c r="L254"/>
  <c r="M254"/>
  <c r="G239"/>
  <c r="G254"/>
  <c r="F238"/>
  <c r="E238"/>
  <c r="H238"/>
  <c r="P238"/>
  <c r="I238"/>
  <c r="D238"/>
  <c r="T238"/>
  <c r="AK253"/>
  <c r="F253"/>
  <c r="D253"/>
  <c r="E253"/>
  <c r="H253"/>
  <c r="L253"/>
  <c r="M253"/>
  <c r="X253"/>
  <c r="B238"/>
  <c r="B253"/>
  <c r="P253"/>
  <c r="Q253"/>
  <c r="R253"/>
  <c r="S253"/>
  <c r="U253"/>
  <c r="Y253"/>
  <c r="Z253"/>
  <c r="W253"/>
  <c r="AA253"/>
  <c r="AB253"/>
  <c r="AE253"/>
  <c r="AJ253"/>
  <c r="K253"/>
  <c r="AI253"/>
  <c r="AC253"/>
  <c r="AH253"/>
  <c r="AG253"/>
  <c r="AD253"/>
  <c r="T253"/>
  <c r="G238"/>
  <c r="G253"/>
  <c r="C253"/>
  <c r="F237"/>
  <c r="E237"/>
  <c r="H237"/>
  <c r="P237"/>
  <c r="I237"/>
  <c r="D237"/>
  <c r="T237"/>
  <c r="AK252"/>
  <c r="F252"/>
  <c r="D252"/>
  <c r="E252"/>
  <c r="H252"/>
  <c r="L252"/>
  <c r="M252"/>
  <c r="X252"/>
  <c r="B237"/>
  <c r="B252"/>
  <c r="P252"/>
  <c r="Q252"/>
  <c r="R252"/>
  <c r="S252"/>
  <c r="U252"/>
  <c r="Y252"/>
  <c r="Z252"/>
  <c r="W252"/>
  <c r="AA252"/>
  <c r="AB252"/>
  <c r="AE252"/>
  <c r="AJ252"/>
  <c r="K252"/>
  <c r="AI252"/>
  <c r="AC252"/>
  <c r="AH252"/>
  <c r="AG252"/>
  <c r="AD252"/>
  <c r="T252"/>
  <c r="G237"/>
  <c r="G252"/>
  <c r="C252"/>
  <c r="F236"/>
  <c r="E236"/>
  <c r="H236"/>
  <c r="P236"/>
  <c r="I236"/>
  <c r="D236"/>
  <c r="T236"/>
  <c r="AK251"/>
  <c r="F251"/>
  <c r="D251"/>
  <c r="E251"/>
  <c r="H251"/>
  <c r="L251"/>
  <c r="M251"/>
  <c r="X251"/>
  <c r="B236"/>
  <c r="B251"/>
  <c r="P251"/>
  <c r="Q251"/>
  <c r="R251"/>
  <c r="S251"/>
  <c r="U251"/>
  <c r="Y251"/>
  <c r="Z251"/>
  <c r="W251"/>
  <c r="AA251"/>
  <c r="AB251"/>
  <c r="AE251"/>
  <c r="AJ251"/>
  <c r="K251"/>
  <c r="AI251"/>
  <c r="AC251"/>
  <c r="AH251"/>
  <c r="AG251"/>
  <c r="AD251"/>
  <c r="T251"/>
  <c r="G236"/>
  <c r="G251"/>
  <c r="C251"/>
  <c r="F235"/>
  <c r="E235"/>
  <c r="H235"/>
  <c r="P235"/>
  <c r="I235"/>
  <c r="D235"/>
  <c r="T235"/>
  <c r="AK250"/>
  <c r="F250"/>
  <c r="D250"/>
  <c r="E250"/>
  <c r="H250"/>
  <c r="L250"/>
  <c r="M250"/>
  <c r="X250"/>
  <c r="B235"/>
  <c r="B250"/>
  <c r="P250"/>
  <c r="Q250"/>
  <c r="R250"/>
  <c r="S250"/>
  <c r="U250"/>
  <c r="Y250"/>
  <c r="Z250"/>
  <c r="W250"/>
  <c r="AA250"/>
  <c r="AB250"/>
  <c r="AE250"/>
  <c r="AJ250"/>
  <c r="K250"/>
  <c r="AI250"/>
  <c r="AC250"/>
  <c r="AH250"/>
  <c r="AG250"/>
  <c r="AD250"/>
  <c r="T250"/>
  <c r="G235"/>
  <c r="G250"/>
  <c r="C250"/>
  <c r="F234"/>
  <c r="E234"/>
  <c r="H234"/>
  <c r="P234"/>
  <c r="I234"/>
  <c r="D234"/>
  <c r="T234"/>
  <c r="AK249"/>
  <c r="F249"/>
  <c r="D249"/>
  <c r="E249"/>
  <c r="H249"/>
  <c r="L249"/>
  <c r="M249"/>
  <c r="X249"/>
  <c r="B234"/>
  <c r="B249"/>
  <c r="P249"/>
  <c r="Q249"/>
  <c r="R249"/>
  <c r="S249"/>
  <c r="U249"/>
  <c r="Y249"/>
  <c r="Z249"/>
  <c r="W249"/>
  <c r="AA249"/>
  <c r="AB249"/>
  <c r="AE249"/>
  <c r="AJ249"/>
  <c r="K249"/>
  <c r="AI249"/>
  <c r="AC249"/>
  <c r="AH249"/>
  <c r="AG249"/>
  <c r="AD249"/>
  <c r="T249"/>
  <c r="G234"/>
  <c r="G249"/>
  <c r="C249"/>
  <c r="AK248"/>
  <c r="AG248"/>
  <c r="AK244"/>
  <c r="C177"/>
  <c r="C244"/>
  <c r="J244"/>
  <c r="J177"/>
  <c r="O244"/>
  <c r="AJ244"/>
  <c r="I177"/>
  <c r="N244"/>
  <c r="AI244"/>
  <c r="K244"/>
  <c r="K177"/>
  <c r="M244"/>
  <c r="AH244"/>
  <c r="AG244"/>
  <c r="S244"/>
  <c r="R244"/>
  <c r="AK243"/>
  <c r="C243"/>
  <c r="J243"/>
  <c r="O243"/>
  <c r="AJ243"/>
  <c r="N243"/>
  <c r="AI243"/>
  <c r="K243"/>
  <c r="M243"/>
  <c r="AH243"/>
  <c r="AG243"/>
  <c r="S243"/>
  <c r="R243"/>
  <c r="AK242"/>
  <c r="C242"/>
  <c r="J242"/>
  <c r="O242"/>
  <c r="AJ242"/>
  <c r="N242"/>
  <c r="AI242"/>
  <c r="K242"/>
  <c r="M242"/>
  <c r="AH242"/>
  <c r="AG242"/>
  <c r="S242"/>
  <c r="R242"/>
  <c r="AK241"/>
  <c r="C241"/>
  <c r="J241"/>
  <c r="O241"/>
  <c r="AJ241"/>
  <c r="N241"/>
  <c r="AI241"/>
  <c r="K241"/>
  <c r="M241"/>
  <c r="AH241"/>
  <c r="AG241"/>
  <c r="S241"/>
  <c r="R241"/>
  <c r="AK240"/>
  <c r="C240"/>
  <c r="J240"/>
  <c r="O240"/>
  <c r="AJ240"/>
  <c r="N240"/>
  <c r="AI240"/>
  <c r="K240"/>
  <c r="M240"/>
  <c r="AH240"/>
  <c r="AG240"/>
  <c r="S240"/>
  <c r="R240"/>
  <c r="AK239"/>
  <c r="C239"/>
  <c r="J239"/>
  <c r="O239"/>
  <c r="AJ239"/>
  <c r="N239"/>
  <c r="AI239"/>
  <c r="K239"/>
  <c r="M239"/>
  <c r="AH239"/>
  <c r="AG239"/>
  <c r="S239"/>
  <c r="R239"/>
  <c r="AK238"/>
  <c r="C238"/>
  <c r="J238"/>
  <c r="O238"/>
  <c r="AJ238"/>
  <c r="N238"/>
  <c r="AI238"/>
  <c r="K238"/>
  <c r="M238"/>
  <c r="AH238"/>
  <c r="AG238"/>
  <c r="S238"/>
  <c r="R238"/>
  <c r="AK237"/>
  <c r="C237"/>
  <c r="J237"/>
  <c r="O237"/>
  <c r="AJ237"/>
  <c r="N237"/>
  <c r="AI237"/>
  <c r="K237"/>
  <c r="M237"/>
  <c r="AH237"/>
  <c r="AG237"/>
  <c r="S237"/>
  <c r="R237"/>
  <c r="AK236"/>
  <c r="C236"/>
  <c r="J236"/>
  <c r="O236"/>
  <c r="AJ236"/>
  <c r="N236"/>
  <c r="AI236"/>
  <c r="K236"/>
  <c r="M236"/>
  <c r="AH236"/>
  <c r="AG236"/>
  <c r="S236"/>
  <c r="R236"/>
  <c r="AK235"/>
  <c r="C235"/>
  <c r="J235"/>
  <c r="O235"/>
  <c r="AJ235"/>
  <c r="N235"/>
  <c r="AI235"/>
  <c r="K235"/>
  <c r="M235"/>
  <c r="AH235"/>
  <c r="AG235"/>
  <c r="S235"/>
  <c r="R235"/>
  <c r="AK234"/>
  <c r="C234"/>
  <c r="J234"/>
  <c r="O234"/>
  <c r="AJ234"/>
  <c r="N234"/>
  <c r="AI234"/>
  <c r="K234"/>
  <c r="M234"/>
  <c r="AH234"/>
  <c r="AG234"/>
  <c r="S234"/>
  <c r="R234"/>
  <c r="AK233"/>
  <c r="AG233"/>
  <c r="B213"/>
  <c r="B228"/>
  <c r="P228"/>
  <c r="Q228"/>
  <c r="B223"/>
  <c r="Q223"/>
  <c r="AQ228"/>
  <c r="E223"/>
  <c r="C223"/>
  <c r="J223"/>
  <c r="F223"/>
  <c r="D223"/>
  <c r="H223"/>
  <c r="K223"/>
  <c r="N223"/>
  <c r="S223"/>
  <c r="W223"/>
  <c r="O223"/>
  <c r="T223"/>
  <c r="V223"/>
  <c r="X223"/>
  <c r="F213"/>
  <c r="F228"/>
  <c r="E213"/>
  <c r="H208"/>
  <c r="H213"/>
  <c r="I213"/>
  <c r="G213"/>
  <c r="D228"/>
  <c r="E228"/>
  <c r="H228"/>
  <c r="L228"/>
  <c r="L223"/>
  <c r="M228"/>
  <c r="X228"/>
  <c r="U223"/>
  <c r="U228"/>
  <c r="Y228"/>
  <c r="Z228"/>
  <c r="R228"/>
  <c r="S228"/>
  <c r="W228"/>
  <c r="AA228"/>
  <c r="AB228"/>
  <c r="AD228"/>
  <c r="Y223"/>
  <c r="Z223"/>
  <c r="AA223"/>
  <c r="AB223"/>
  <c r="AD223"/>
  <c r="AP228"/>
  <c r="AO228"/>
  <c r="AN228"/>
  <c r="AG228"/>
  <c r="AG223"/>
  <c r="AM228"/>
  <c r="T213"/>
  <c r="AK228"/>
  <c r="AE228"/>
  <c r="AJ228"/>
  <c r="I228"/>
  <c r="AI228"/>
  <c r="AC228"/>
  <c r="AH228"/>
  <c r="T228"/>
  <c r="G228"/>
  <c r="C228"/>
  <c r="B212"/>
  <c r="B227"/>
  <c r="P227"/>
  <c r="Q227"/>
  <c r="AQ227"/>
  <c r="F212"/>
  <c r="F227"/>
  <c r="E212"/>
  <c r="H212"/>
  <c r="I212"/>
  <c r="G212"/>
  <c r="D227"/>
  <c r="E227"/>
  <c r="H227"/>
  <c r="L227"/>
  <c r="M227"/>
  <c r="X227"/>
  <c r="U227"/>
  <c r="Y227"/>
  <c r="Z227"/>
  <c r="R227"/>
  <c r="S227"/>
  <c r="W227"/>
  <c r="AA227"/>
  <c r="AB227"/>
  <c r="AD227"/>
  <c r="AP227"/>
  <c r="AO227"/>
  <c r="AN227"/>
  <c r="AG227"/>
  <c r="AM227"/>
  <c r="T212"/>
  <c r="AK227"/>
  <c r="AE227"/>
  <c r="AJ227"/>
  <c r="I227"/>
  <c r="AI227"/>
  <c r="AC227"/>
  <c r="AH227"/>
  <c r="T227"/>
  <c r="G227"/>
  <c r="C227"/>
  <c r="B211"/>
  <c r="B226"/>
  <c r="P226"/>
  <c r="Q226"/>
  <c r="AQ226"/>
  <c r="F211"/>
  <c r="F226"/>
  <c r="E211"/>
  <c r="H211"/>
  <c r="I211"/>
  <c r="G211"/>
  <c r="D226"/>
  <c r="E226"/>
  <c r="H226"/>
  <c r="L226"/>
  <c r="M226"/>
  <c r="X226"/>
  <c r="U226"/>
  <c r="Y226"/>
  <c r="Z226"/>
  <c r="R226"/>
  <c r="S226"/>
  <c r="W226"/>
  <c r="AA226"/>
  <c r="AB226"/>
  <c r="AD226"/>
  <c r="AP226"/>
  <c r="AO226"/>
  <c r="AN226"/>
  <c r="AG226"/>
  <c r="AM226"/>
  <c r="T211"/>
  <c r="AK226"/>
  <c r="AE226"/>
  <c r="AJ226"/>
  <c r="I226"/>
  <c r="AI226"/>
  <c r="AC226"/>
  <c r="AH226"/>
  <c r="T226"/>
  <c r="G226"/>
  <c r="C226"/>
  <c r="B210"/>
  <c r="B225"/>
  <c r="P225"/>
  <c r="Q225"/>
  <c r="AQ225"/>
  <c r="F210"/>
  <c r="F225"/>
  <c r="E210"/>
  <c r="H210"/>
  <c r="I210"/>
  <c r="G210"/>
  <c r="D225"/>
  <c r="E225"/>
  <c r="H225"/>
  <c r="L225"/>
  <c r="M225"/>
  <c r="X225"/>
  <c r="U225"/>
  <c r="Y225"/>
  <c r="Z225"/>
  <c r="R225"/>
  <c r="S225"/>
  <c r="W225"/>
  <c r="AA225"/>
  <c r="AB225"/>
  <c r="AD225"/>
  <c r="AP225"/>
  <c r="AO225"/>
  <c r="AN225"/>
  <c r="AG225"/>
  <c r="AM225"/>
  <c r="T210"/>
  <c r="AK225"/>
  <c r="AE225"/>
  <c r="AJ225"/>
  <c r="I225"/>
  <c r="AI225"/>
  <c r="AC225"/>
  <c r="AH225"/>
  <c r="T225"/>
  <c r="G225"/>
  <c r="C225"/>
  <c r="B209"/>
  <c r="B224"/>
  <c r="P224"/>
  <c r="Q224"/>
  <c r="AQ224"/>
  <c r="F209"/>
  <c r="F224"/>
  <c r="E209"/>
  <c r="H209"/>
  <c r="I209"/>
  <c r="G209"/>
  <c r="D224"/>
  <c r="E224"/>
  <c r="H224"/>
  <c r="L224"/>
  <c r="M224"/>
  <c r="X224"/>
  <c r="U224"/>
  <c r="Y224"/>
  <c r="Z224"/>
  <c r="R224"/>
  <c r="S224"/>
  <c r="W224"/>
  <c r="AA224"/>
  <c r="AB224"/>
  <c r="AD224"/>
  <c r="AP224"/>
  <c r="AO224"/>
  <c r="AN224"/>
  <c r="AG224"/>
  <c r="AM224"/>
  <c r="T209"/>
  <c r="AK224"/>
  <c r="AE224"/>
  <c r="AJ224"/>
  <c r="I224"/>
  <c r="AI224"/>
  <c r="AC224"/>
  <c r="AH224"/>
  <c r="T224"/>
  <c r="G224"/>
  <c r="C224"/>
  <c r="AQ223"/>
  <c r="AP223"/>
  <c r="AO223"/>
  <c r="AN223"/>
  <c r="AM223"/>
  <c r="T208"/>
  <c r="AK223"/>
  <c r="AE223"/>
  <c r="AJ223"/>
  <c r="I223"/>
  <c r="AI223"/>
  <c r="AC223"/>
  <c r="AH223"/>
  <c r="M223"/>
  <c r="G223"/>
  <c r="B207"/>
  <c r="B222"/>
  <c r="P222"/>
  <c r="Q222"/>
  <c r="AQ222"/>
  <c r="F207"/>
  <c r="F222"/>
  <c r="E207"/>
  <c r="H207"/>
  <c r="I207"/>
  <c r="G207"/>
  <c r="D222"/>
  <c r="E222"/>
  <c r="H222"/>
  <c r="L222"/>
  <c r="M222"/>
  <c r="X222"/>
  <c r="U222"/>
  <c r="Y222"/>
  <c r="Z222"/>
  <c r="R222"/>
  <c r="S222"/>
  <c r="W222"/>
  <c r="AA222"/>
  <c r="AB222"/>
  <c r="AD222"/>
  <c r="AP222"/>
  <c r="AO222"/>
  <c r="AN222"/>
  <c r="AG222"/>
  <c r="AM222"/>
  <c r="T207"/>
  <c r="AK222"/>
  <c r="AE222"/>
  <c r="AJ222"/>
  <c r="I222"/>
  <c r="AI222"/>
  <c r="AC222"/>
  <c r="AH222"/>
  <c r="T222"/>
  <c r="G222"/>
  <c r="C222"/>
  <c r="B206"/>
  <c r="B221"/>
  <c r="P221"/>
  <c r="Q221"/>
  <c r="AQ221"/>
  <c r="F206"/>
  <c r="F221"/>
  <c r="E206"/>
  <c r="H206"/>
  <c r="I206"/>
  <c r="G206"/>
  <c r="D221"/>
  <c r="E221"/>
  <c r="H221"/>
  <c r="L221"/>
  <c r="M221"/>
  <c r="X221"/>
  <c r="U221"/>
  <c r="Y221"/>
  <c r="Z221"/>
  <c r="R221"/>
  <c r="S221"/>
  <c r="W221"/>
  <c r="AA221"/>
  <c r="AB221"/>
  <c r="AD221"/>
  <c r="AP221"/>
  <c r="AO221"/>
  <c r="AN221"/>
  <c r="AG221"/>
  <c r="AM221"/>
  <c r="T206"/>
  <c r="AK221"/>
  <c r="AE221"/>
  <c r="AJ221"/>
  <c r="I221"/>
  <c r="AI221"/>
  <c r="AC221"/>
  <c r="AH221"/>
  <c r="T221"/>
  <c r="G221"/>
  <c r="C221"/>
  <c r="B205"/>
  <c r="B220"/>
  <c r="P220"/>
  <c r="Q220"/>
  <c r="AQ220"/>
  <c r="F205"/>
  <c r="F220"/>
  <c r="E205"/>
  <c r="H205"/>
  <c r="I205"/>
  <c r="G205"/>
  <c r="D220"/>
  <c r="E220"/>
  <c r="H220"/>
  <c r="L220"/>
  <c r="M220"/>
  <c r="X220"/>
  <c r="U220"/>
  <c r="Y220"/>
  <c r="Z220"/>
  <c r="R220"/>
  <c r="S220"/>
  <c r="W220"/>
  <c r="AA220"/>
  <c r="AB220"/>
  <c r="AD220"/>
  <c r="AP220"/>
  <c r="AO220"/>
  <c r="AN220"/>
  <c r="AG220"/>
  <c r="AM220"/>
  <c r="T205"/>
  <c r="AK220"/>
  <c r="AE220"/>
  <c r="AJ220"/>
  <c r="I220"/>
  <c r="AI220"/>
  <c r="AC220"/>
  <c r="AH220"/>
  <c r="T220"/>
  <c r="G220"/>
  <c r="C220"/>
  <c r="B204"/>
  <c r="B219"/>
  <c r="P219"/>
  <c r="Q219"/>
  <c r="AQ219"/>
  <c r="F204"/>
  <c r="F219"/>
  <c r="E204"/>
  <c r="H204"/>
  <c r="I204"/>
  <c r="G204"/>
  <c r="D219"/>
  <c r="E219"/>
  <c r="H219"/>
  <c r="L219"/>
  <c r="M219"/>
  <c r="X219"/>
  <c r="U219"/>
  <c r="Y219"/>
  <c r="Z219"/>
  <c r="R219"/>
  <c r="S219"/>
  <c r="W219"/>
  <c r="AA219"/>
  <c r="AB219"/>
  <c r="AD219"/>
  <c r="AP219"/>
  <c r="AO219"/>
  <c r="AN219"/>
  <c r="AG219"/>
  <c r="AM219"/>
  <c r="T204"/>
  <c r="AK219"/>
  <c r="AE219"/>
  <c r="AJ219"/>
  <c r="I219"/>
  <c r="AI219"/>
  <c r="AC219"/>
  <c r="AH219"/>
  <c r="T219"/>
  <c r="G219"/>
  <c r="C219"/>
  <c r="B203"/>
  <c r="B218"/>
  <c r="P218"/>
  <c r="Q218"/>
  <c r="AQ218"/>
  <c r="F203"/>
  <c r="F218"/>
  <c r="E203"/>
  <c r="H203"/>
  <c r="I203"/>
  <c r="G203"/>
  <c r="D218"/>
  <c r="E218"/>
  <c r="H218"/>
  <c r="L218"/>
  <c r="M218"/>
  <c r="X218"/>
  <c r="U218"/>
  <c r="Y218"/>
  <c r="Z218"/>
  <c r="R218"/>
  <c r="S218"/>
  <c r="W218"/>
  <c r="AA218"/>
  <c r="AB218"/>
  <c r="AD218"/>
  <c r="AP218"/>
  <c r="AO218"/>
  <c r="AN218"/>
  <c r="AG218"/>
  <c r="AM218"/>
  <c r="T203"/>
  <c r="AK218"/>
  <c r="AE218"/>
  <c r="AJ218"/>
  <c r="I218"/>
  <c r="AI218"/>
  <c r="AC218"/>
  <c r="AH218"/>
  <c r="T218"/>
  <c r="G218"/>
  <c r="C218"/>
  <c r="AK217"/>
  <c r="AQ217"/>
  <c r="AP217"/>
  <c r="AO217"/>
  <c r="AN217"/>
  <c r="AG217"/>
  <c r="AM217"/>
  <c r="P213"/>
  <c r="I208"/>
  <c r="P208"/>
  <c r="Q213"/>
  <c r="Q208"/>
  <c r="AQ213"/>
  <c r="C213"/>
  <c r="J213"/>
  <c r="C208"/>
  <c r="J208"/>
  <c r="AP213"/>
  <c r="AO213"/>
  <c r="K213"/>
  <c r="K208"/>
  <c r="AN213"/>
  <c r="AG213"/>
  <c r="AG208"/>
  <c r="AM213"/>
  <c r="AK213"/>
  <c r="O213"/>
  <c r="AJ213"/>
  <c r="N213"/>
  <c r="AI213"/>
  <c r="M213"/>
  <c r="AH213"/>
  <c r="S213"/>
  <c r="R213"/>
  <c r="L213"/>
  <c r="P212"/>
  <c r="Q212"/>
  <c r="AQ212"/>
  <c r="C212"/>
  <c r="J212"/>
  <c r="AP212"/>
  <c r="AO212"/>
  <c r="K212"/>
  <c r="AN212"/>
  <c r="AG212"/>
  <c r="AM212"/>
  <c r="AK212"/>
  <c r="O212"/>
  <c r="AJ212"/>
  <c r="N212"/>
  <c r="AI212"/>
  <c r="M212"/>
  <c r="AH212"/>
  <c r="S212"/>
  <c r="R212"/>
  <c r="L212"/>
  <c r="P211"/>
  <c r="Q211"/>
  <c r="AQ211"/>
  <c r="C211"/>
  <c r="J211"/>
  <c r="AP211"/>
  <c r="AO211"/>
  <c r="K211"/>
  <c r="AN211"/>
  <c r="AG211"/>
  <c r="AM211"/>
  <c r="AK211"/>
  <c r="O211"/>
  <c r="AJ211"/>
  <c r="N211"/>
  <c r="AI211"/>
  <c r="M211"/>
  <c r="AH211"/>
  <c r="S211"/>
  <c r="R211"/>
  <c r="L211"/>
  <c r="P210"/>
  <c r="Q210"/>
  <c r="AQ210"/>
  <c r="C210"/>
  <c r="J210"/>
  <c r="AP210"/>
  <c r="AO210"/>
  <c r="K210"/>
  <c r="AN210"/>
  <c r="AG210"/>
  <c r="AM210"/>
  <c r="AK210"/>
  <c r="O210"/>
  <c r="AJ210"/>
  <c r="N210"/>
  <c r="AI210"/>
  <c r="M210"/>
  <c r="AH210"/>
  <c r="S210"/>
  <c r="R210"/>
  <c r="L210"/>
  <c r="P209"/>
  <c r="Q209"/>
  <c r="AQ209"/>
  <c r="C209"/>
  <c r="J209"/>
  <c r="AP209"/>
  <c r="AO209"/>
  <c r="K209"/>
  <c r="AN209"/>
  <c r="AG209"/>
  <c r="AM209"/>
  <c r="AK209"/>
  <c r="O209"/>
  <c r="AJ209"/>
  <c r="N209"/>
  <c r="AI209"/>
  <c r="M209"/>
  <c r="AH209"/>
  <c r="S209"/>
  <c r="R209"/>
  <c r="L209"/>
  <c r="AQ208"/>
  <c r="AP208"/>
  <c r="AO208"/>
  <c r="AN208"/>
  <c r="AM208"/>
  <c r="AK208"/>
  <c r="O208"/>
  <c r="AJ208"/>
  <c r="N208"/>
  <c r="AI208"/>
  <c r="M208"/>
  <c r="AH208"/>
  <c r="S208"/>
  <c r="R208"/>
  <c r="L208"/>
  <c r="P207"/>
  <c r="Q207"/>
  <c r="AQ207"/>
  <c r="C207"/>
  <c r="J207"/>
  <c r="AP207"/>
  <c r="AO207"/>
  <c r="K207"/>
  <c r="AN207"/>
  <c r="AG207"/>
  <c r="AM207"/>
  <c r="AK207"/>
  <c r="O207"/>
  <c r="AJ207"/>
  <c r="N207"/>
  <c r="AI207"/>
  <c r="M207"/>
  <c r="AH207"/>
  <c r="S207"/>
  <c r="R207"/>
  <c r="L207"/>
  <c r="P206"/>
  <c r="Q206"/>
  <c r="AQ206"/>
  <c r="C206"/>
  <c r="J206"/>
  <c r="AP206"/>
  <c r="AO206"/>
  <c r="K206"/>
  <c r="AN206"/>
  <c r="AG206"/>
  <c r="AM206"/>
  <c r="AK206"/>
  <c r="O206"/>
  <c r="AJ206"/>
  <c r="N206"/>
  <c r="AI206"/>
  <c r="M206"/>
  <c r="AH206"/>
  <c r="S206"/>
  <c r="R206"/>
  <c r="L206"/>
  <c r="P205"/>
  <c r="Q205"/>
  <c r="AQ205"/>
  <c r="C205"/>
  <c r="J205"/>
  <c r="AP205"/>
  <c r="AO205"/>
  <c r="K205"/>
  <c r="AN205"/>
  <c r="AG205"/>
  <c r="AM205"/>
  <c r="AK205"/>
  <c r="O205"/>
  <c r="AJ205"/>
  <c r="N205"/>
  <c r="AI205"/>
  <c r="M205"/>
  <c r="AH205"/>
  <c r="S205"/>
  <c r="R205"/>
  <c r="L205"/>
  <c r="P204"/>
  <c r="Q204"/>
  <c r="AQ204"/>
  <c r="C204"/>
  <c r="J204"/>
  <c r="AP204"/>
  <c r="AO204"/>
  <c r="K204"/>
  <c r="AN204"/>
  <c r="AG204"/>
  <c r="AM204"/>
  <c r="AK204"/>
  <c r="O204"/>
  <c r="AJ204"/>
  <c r="N204"/>
  <c r="AI204"/>
  <c r="M204"/>
  <c r="AH204"/>
  <c r="S204"/>
  <c r="R204"/>
  <c r="L204"/>
  <c r="P203"/>
  <c r="Q203"/>
  <c r="AQ203"/>
  <c r="C203"/>
  <c r="J203"/>
  <c r="AP203"/>
  <c r="AO203"/>
  <c r="K203"/>
  <c r="AN203"/>
  <c r="AG203"/>
  <c r="AM203"/>
  <c r="AK203"/>
  <c r="O203"/>
  <c r="AJ203"/>
  <c r="N203"/>
  <c r="AI203"/>
  <c r="M203"/>
  <c r="AH203"/>
  <c r="S203"/>
  <c r="R203"/>
  <c r="L203"/>
  <c r="AK202"/>
  <c r="AQ202"/>
  <c r="AP202"/>
  <c r="AO202"/>
  <c r="AN202"/>
  <c r="AG202"/>
  <c r="AM202"/>
  <c r="P177"/>
  <c r="F182"/>
  <c r="D182"/>
  <c r="E182"/>
  <c r="I182"/>
  <c r="P182"/>
  <c r="Q182"/>
  <c r="Q177"/>
  <c r="AQ197"/>
  <c r="L197"/>
  <c r="M197"/>
  <c r="X197"/>
  <c r="F197"/>
  <c r="B182"/>
  <c r="B197"/>
  <c r="P197"/>
  <c r="Q197"/>
  <c r="R197"/>
  <c r="S197"/>
  <c r="U197"/>
  <c r="Y197"/>
  <c r="Z197"/>
  <c r="E197"/>
  <c r="W197"/>
  <c r="AA197"/>
  <c r="AB197"/>
  <c r="D197"/>
  <c r="H197"/>
  <c r="AD197"/>
  <c r="AD192"/>
  <c r="AP197"/>
  <c r="AO197"/>
  <c r="AN197"/>
  <c r="AG197"/>
  <c r="AM197"/>
  <c r="AK197"/>
  <c r="AE197"/>
  <c r="AJ197"/>
  <c r="K197"/>
  <c r="AI197"/>
  <c r="AC197"/>
  <c r="AH197"/>
  <c r="T197"/>
  <c r="G182"/>
  <c r="G197"/>
  <c r="C197"/>
  <c r="F181"/>
  <c r="D181"/>
  <c r="E181"/>
  <c r="I181"/>
  <c r="P181"/>
  <c r="Q181"/>
  <c r="AQ196"/>
  <c r="L196"/>
  <c r="M196"/>
  <c r="X196"/>
  <c r="F196"/>
  <c r="B181"/>
  <c r="B196"/>
  <c r="P196"/>
  <c r="Q196"/>
  <c r="R196"/>
  <c r="S196"/>
  <c r="U196"/>
  <c r="Y196"/>
  <c r="Z196"/>
  <c r="E196"/>
  <c r="W196"/>
  <c r="AA196"/>
  <c r="AB196"/>
  <c r="D196"/>
  <c r="H196"/>
  <c r="AD196"/>
  <c r="AP196"/>
  <c r="AO196"/>
  <c r="AN196"/>
  <c r="AG196"/>
  <c r="AM196"/>
  <c r="AK196"/>
  <c r="AE196"/>
  <c r="AJ196"/>
  <c r="K196"/>
  <c r="AI196"/>
  <c r="AC196"/>
  <c r="AH196"/>
  <c r="T196"/>
  <c r="G181"/>
  <c r="G196"/>
  <c r="C196"/>
  <c r="F180"/>
  <c r="D180"/>
  <c r="E180"/>
  <c r="I180"/>
  <c r="P180"/>
  <c r="Q180"/>
  <c r="AQ195"/>
  <c r="L195"/>
  <c r="M195"/>
  <c r="X195"/>
  <c r="F195"/>
  <c r="B180"/>
  <c r="B195"/>
  <c r="P195"/>
  <c r="Q195"/>
  <c r="R195"/>
  <c r="S195"/>
  <c r="U195"/>
  <c r="Y195"/>
  <c r="Z195"/>
  <c r="E195"/>
  <c r="W195"/>
  <c r="AA195"/>
  <c r="AB195"/>
  <c r="D195"/>
  <c r="H195"/>
  <c r="AD195"/>
  <c r="AP195"/>
  <c r="AO195"/>
  <c r="AN195"/>
  <c r="AG195"/>
  <c r="AM195"/>
  <c r="AK195"/>
  <c r="AE195"/>
  <c r="AJ195"/>
  <c r="K195"/>
  <c r="AI195"/>
  <c r="AC195"/>
  <c r="AH195"/>
  <c r="T195"/>
  <c r="G180"/>
  <c r="G195"/>
  <c r="C195"/>
  <c r="F179"/>
  <c r="D179"/>
  <c r="E179"/>
  <c r="I179"/>
  <c r="P179"/>
  <c r="Q179"/>
  <c r="AQ194"/>
  <c r="L194"/>
  <c r="M194"/>
  <c r="X194"/>
  <c r="F194"/>
  <c r="B179"/>
  <c r="B194"/>
  <c r="P194"/>
  <c r="Q194"/>
  <c r="R194"/>
  <c r="S194"/>
  <c r="U194"/>
  <c r="Y194"/>
  <c r="Z194"/>
  <c r="E194"/>
  <c r="W194"/>
  <c r="AA194"/>
  <c r="AB194"/>
  <c r="D194"/>
  <c r="H194"/>
  <c r="AD194"/>
  <c r="AP194"/>
  <c r="AO194"/>
  <c r="AN194"/>
  <c r="AG194"/>
  <c r="AM194"/>
  <c r="AK194"/>
  <c r="AE194"/>
  <c r="AJ194"/>
  <c r="K194"/>
  <c r="AI194"/>
  <c r="AC194"/>
  <c r="AH194"/>
  <c r="T194"/>
  <c r="G179"/>
  <c r="G194"/>
  <c r="C194"/>
  <c r="F178"/>
  <c r="D178"/>
  <c r="E178"/>
  <c r="I178"/>
  <c r="P178"/>
  <c r="Q178"/>
  <c r="AQ193"/>
  <c r="L193"/>
  <c r="M193"/>
  <c r="X193"/>
  <c r="F193"/>
  <c r="B178"/>
  <c r="B193"/>
  <c r="P193"/>
  <c r="Q193"/>
  <c r="R193"/>
  <c r="S193"/>
  <c r="U193"/>
  <c r="Y193"/>
  <c r="Z193"/>
  <c r="E193"/>
  <c r="W193"/>
  <c r="AA193"/>
  <c r="AB193"/>
  <c r="D193"/>
  <c r="H193"/>
  <c r="AD193"/>
  <c r="AP193"/>
  <c r="AO193"/>
  <c r="AN193"/>
  <c r="AG193"/>
  <c r="AM193"/>
  <c r="AK193"/>
  <c r="AE193"/>
  <c r="AJ193"/>
  <c r="K193"/>
  <c r="AI193"/>
  <c r="AC193"/>
  <c r="AH193"/>
  <c r="T193"/>
  <c r="G178"/>
  <c r="G193"/>
  <c r="C193"/>
  <c r="AQ192"/>
  <c r="AP192"/>
  <c r="AO192"/>
  <c r="AN192"/>
  <c r="AG192"/>
  <c r="AM192"/>
  <c r="AK192"/>
  <c r="AE192"/>
  <c r="AJ192"/>
  <c r="K192"/>
  <c r="AI192"/>
  <c r="AC192"/>
  <c r="AH192"/>
  <c r="M192"/>
  <c r="G177"/>
  <c r="G192"/>
  <c r="F176"/>
  <c r="D176"/>
  <c r="E176"/>
  <c r="I176"/>
  <c r="P176"/>
  <c r="Q176"/>
  <c r="AQ191"/>
  <c r="L191"/>
  <c r="M191"/>
  <c r="X191"/>
  <c r="F191"/>
  <c r="B176"/>
  <c r="B191"/>
  <c r="P191"/>
  <c r="Q191"/>
  <c r="R191"/>
  <c r="S191"/>
  <c r="U191"/>
  <c r="Y191"/>
  <c r="Z191"/>
  <c r="E191"/>
  <c r="W191"/>
  <c r="AA191"/>
  <c r="AB191"/>
  <c r="D191"/>
  <c r="H191"/>
  <c r="AD191"/>
  <c r="AP191"/>
  <c r="AO191"/>
  <c r="AN191"/>
  <c r="AG191"/>
  <c r="AM191"/>
  <c r="AK191"/>
  <c r="AE191"/>
  <c r="AJ191"/>
  <c r="K191"/>
  <c r="AI191"/>
  <c r="AC191"/>
  <c r="AH191"/>
  <c r="T191"/>
  <c r="G176"/>
  <c r="G191"/>
  <c r="C191"/>
  <c r="F175"/>
  <c r="D175"/>
  <c r="E175"/>
  <c r="I175"/>
  <c r="P175"/>
  <c r="Q175"/>
  <c r="AQ190"/>
  <c r="L190"/>
  <c r="M190"/>
  <c r="X190"/>
  <c r="F190"/>
  <c r="B175"/>
  <c r="B190"/>
  <c r="P190"/>
  <c r="Q190"/>
  <c r="R190"/>
  <c r="S190"/>
  <c r="U190"/>
  <c r="Y190"/>
  <c r="Z190"/>
  <c r="E190"/>
  <c r="W190"/>
  <c r="AA190"/>
  <c r="AB190"/>
  <c r="D190"/>
  <c r="H190"/>
  <c r="AD190"/>
  <c r="AP190"/>
  <c r="AO190"/>
  <c r="AN190"/>
  <c r="AG190"/>
  <c r="AM190"/>
  <c r="AK190"/>
  <c r="AE190"/>
  <c r="AJ190"/>
  <c r="K190"/>
  <c r="AI190"/>
  <c r="AC190"/>
  <c r="AH190"/>
  <c r="T190"/>
  <c r="G175"/>
  <c r="G190"/>
  <c r="C190"/>
  <c r="F174"/>
  <c r="D174"/>
  <c r="E174"/>
  <c r="I174"/>
  <c r="P174"/>
  <c r="Q174"/>
  <c r="AQ189"/>
  <c r="L189"/>
  <c r="M189"/>
  <c r="X189"/>
  <c r="F189"/>
  <c r="B174"/>
  <c r="B189"/>
  <c r="P189"/>
  <c r="Q189"/>
  <c r="R189"/>
  <c r="S189"/>
  <c r="U189"/>
  <c r="Y189"/>
  <c r="Z189"/>
  <c r="E189"/>
  <c r="W189"/>
  <c r="AA189"/>
  <c r="AB189"/>
  <c r="D189"/>
  <c r="H189"/>
  <c r="AD189"/>
  <c r="AP189"/>
  <c r="AO189"/>
  <c r="AN189"/>
  <c r="AG189"/>
  <c r="AM189"/>
  <c r="AK189"/>
  <c r="AE189"/>
  <c r="AJ189"/>
  <c r="K189"/>
  <c r="AI189"/>
  <c r="AC189"/>
  <c r="AH189"/>
  <c r="T189"/>
  <c r="G174"/>
  <c r="G189"/>
  <c r="C189"/>
  <c r="F173"/>
  <c r="D173"/>
  <c r="E173"/>
  <c r="I173"/>
  <c r="P173"/>
  <c r="Q173"/>
  <c r="AQ188"/>
  <c r="L188"/>
  <c r="M188"/>
  <c r="X188"/>
  <c r="F188"/>
  <c r="B173"/>
  <c r="B188"/>
  <c r="P188"/>
  <c r="Q188"/>
  <c r="R188"/>
  <c r="S188"/>
  <c r="U188"/>
  <c r="Y188"/>
  <c r="Z188"/>
  <c r="E188"/>
  <c r="W188"/>
  <c r="AA188"/>
  <c r="AB188"/>
  <c r="D188"/>
  <c r="H188"/>
  <c r="AD188"/>
  <c r="AP188"/>
  <c r="AO188"/>
  <c r="AN188"/>
  <c r="AG188"/>
  <c r="AM188"/>
  <c r="AK188"/>
  <c r="AE188"/>
  <c r="AJ188"/>
  <c r="K188"/>
  <c r="AI188"/>
  <c r="AC188"/>
  <c r="AH188"/>
  <c r="T188"/>
  <c r="G173"/>
  <c r="G188"/>
  <c r="C188"/>
  <c r="F172"/>
  <c r="D172"/>
  <c r="E172"/>
  <c r="I172"/>
  <c r="P172"/>
  <c r="Q172"/>
  <c r="AQ187"/>
  <c r="L187"/>
  <c r="M187"/>
  <c r="X187"/>
  <c r="F187"/>
  <c r="B172"/>
  <c r="B187"/>
  <c r="P187"/>
  <c r="Q187"/>
  <c r="R187"/>
  <c r="S187"/>
  <c r="U187"/>
  <c r="Y187"/>
  <c r="Z187"/>
  <c r="E187"/>
  <c r="W187"/>
  <c r="AA187"/>
  <c r="AB187"/>
  <c r="D187"/>
  <c r="H187"/>
  <c r="AD187"/>
  <c r="AP187"/>
  <c r="AO187"/>
  <c r="AN187"/>
  <c r="AG187"/>
  <c r="AM187"/>
  <c r="AK187"/>
  <c r="AE187"/>
  <c r="AJ187"/>
  <c r="K187"/>
  <c r="AI187"/>
  <c r="AC187"/>
  <c r="AH187"/>
  <c r="T187"/>
  <c r="G172"/>
  <c r="G187"/>
  <c r="C187"/>
  <c r="AK186"/>
  <c r="AQ186"/>
  <c r="AP186"/>
  <c r="AO186"/>
  <c r="AN186"/>
  <c r="AG186"/>
  <c r="AM186"/>
  <c r="AQ182"/>
  <c r="C182"/>
  <c r="J182"/>
  <c r="K182"/>
  <c r="AP182"/>
  <c r="AO182"/>
  <c r="AN182"/>
  <c r="AG182"/>
  <c r="AG177"/>
  <c r="AM182"/>
  <c r="AK182"/>
  <c r="O182"/>
  <c r="AJ182"/>
  <c r="N182"/>
  <c r="AI182"/>
  <c r="M182"/>
  <c r="AH182"/>
  <c r="T182"/>
  <c r="S182"/>
  <c r="R182"/>
  <c r="AQ181"/>
  <c r="C181"/>
  <c r="J181"/>
  <c r="K181"/>
  <c r="AP181"/>
  <c r="AO181"/>
  <c r="AN181"/>
  <c r="AG181"/>
  <c r="AM181"/>
  <c r="AK181"/>
  <c r="O181"/>
  <c r="AJ181"/>
  <c r="N181"/>
  <c r="AI181"/>
  <c r="M181"/>
  <c r="AH181"/>
  <c r="T181"/>
  <c r="S181"/>
  <c r="R181"/>
  <c r="AQ180"/>
  <c r="C180"/>
  <c r="J180"/>
  <c r="K180"/>
  <c r="AP180"/>
  <c r="AO180"/>
  <c r="AN180"/>
  <c r="AG180"/>
  <c r="AM180"/>
  <c r="AK180"/>
  <c r="O180"/>
  <c r="AJ180"/>
  <c r="N180"/>
  <c r="AI180"/>
  <c r="M180"/>
  <c r="AH180"/>
  <c r="T180"/>
  <c r="S180"/>
  <c r="R180"/>
  <c r="AQ179"/>
  <c r="C179"/>
  <c r="J179"/>
  <c r="K179"/>
  <c r="AP179"/>
  <c r="AO179"/>
  <c r="AN179"/>
  <c r="AG179"/>
  <c r="AM179"/>
  <c r="AK179"/>
  <c r="O179"/>
  <c r="AJ179"/>
  <c r="N179"/>
  <c r="AI179"/>
  <c r="M179"/>
  <c r="AH179"/>
  <c r="T179"/>
  <c r="S179"/>
  <c r="R179"/>
  <c r="AQ178"/>
  <c r="C178"/>
  <c r="J178"/>
  <c r="K178"/>
  <c r="AP178"/>
  <c r="AO178"/>
  <c r="AN178"/>
  <c r="AG178"/>
  <c r="AM178"/>
  <c r="AK178"/>
  <c r="O178"/>
  <c r="AJ178"/>
  <c r="N178"/>
  <c r="AI178"/>
  <c r="M178"/>
  <c r="AH178"/>
  <c r="T178"/>
  <c r="S178"/>
  <c r="R178"/>
  <c r="AQ177"/>
  <c r="AP177"/>
  <c r="AO177"/>
  <c r="AN177"/>
  <c r="AM177"/>
  <c r="AK177"/>
  <c r="O177"/>
  <c r="AJ177"/>
  <c r="N177"/>
  <c r="AI177"/>
  <c r="M177"/>
  <c r="AH177"/>
  <c r="T177"/>
  <c r="S177"/>
  <c r="R177"/>
  <c r="AQ176"/>
  <c r="C176"/>
  <c r="J176"/>
  <c r="K176"/>
  <c r="AP176"/>
  <c r="AO176"/>
  <c r="AN176"/>
  <c r="AG176"/>
  <c r="AM176"/>
  <c r="AK176"/>
  <c r="O176"/>
  <c r="AJ176"/>
  <c r="N176"/>
  <c r="AI176"/>
  <c r="M176"/>
  <c r="AH176"/>
  <c r="T176"/>
  <c r="S176"/>
  <c r="R176"/>
  <c r="AQ175"/>
  <c r="C175"/>
  <c r="J175"/>
  <c r="K175"/>
  <c r="AP175"/>
  <c r="AO175"/>
  <c r="AN175"/>
  <c r="AG175"/>
  <c r="AM175"/>
  <c r="AK175"/>
  <c r="O175"/>
  <c r="AJ175"/>
  <c r="N175"/>
  <c r="AI175"/>
  <c r="M175"/>
  <c r="AH175"/>
  <c r="T175"/>
  <c r="S175"/>
  <c r="R175"/>
  <c r="AQ174"/>
  <c r="C174"/>
  <c r="J174"/>
  <c r="K174"/>
  <c r="AP174"/>
  <c r="AO174"/>
  <c r="AN174"/>
  <c r="AG174"/>
  <c r="AM174"/>
  <c r="AK174"/>
  <c r="O174"/>
  <c r="AJ174"/>
  <c r="N174"/>
  <c r="AI174"/>
  <c r="M174"/>
  <c r="AH174"/>
  <c r="T174"/>
  <c r="S174"/>
  <c r="R174"/>
  <c r="AQ173"/>
  <c r="C173"/>
  <c r="J173"/>
  <c r="K173"/>
  <c r="AP173"/>
  <c r="AO173"/>
  <c r="AN173"/>
  <c r="AG173"/>
  <c r="AM173"/>
  <c r="AK173"/>
  <c r="O173"/>
  <c r="AJ173"/>
  <c r="N173"/>
  <c r="AI173"/>
  <c r="M173"/>
  <c r="AH173"/>
  <c r="T173"/>
  <c r="S173"/>
  <c r="R173"/>
  <c r="AQ172"/>
  <c r="C172"/>
  <c r="J172"/>
  <c r="K172"/>
  <c r="AP172"/>
  <c r="AO172"/>
  <c r="AN172"/>
  <c r="AG172"/>
  <c r="AM172"/>
  <c r="AK172"/>
  <c r="O172"/>
  <c r="AJ172"/>
  <c r="N172"/>
  <c r="AI172"/>
  <c r="M172"/>
  <c r="AH172"/>
  <c r="T172"/>
  <c r="S172"/>
  <c r="R172"/>
  <c r="AK171"/>
  <c r="AQ171"/>
  <c r="AP171"/>
  <c r="AO171"/>
  <c r="AN171"/>
  <c r="AG171"/>
  <c r="AM171"/>
  <c r="B151"/>
  <c r="B166"/>
  <c r="P166"/>
  <c r="Q166"/>
  <c r="B161"/>
  <c r="Q161"/>
  <c r="AQ166"/>
  <c r="E161"/>
  <c r="C161"/>
  <c r="J161"/>
  <c r="F161"/>
  <c r="D161"/>
  <c r="H161"/>
  <c r="K161"/>
  <c r="N161"/>
  <c r="S161"/>
  <c r="W161"/>
  <c r="O161"/>
  <c r="T161"/>
  <c r="V161"/>
  <c r="X161"/>
  <c r="F151"/>
  <c r="F166"/>
  <c r="E151"/>
  <c r="G146"/>
  <c r="G151"/>
  <c r="I151"/>
  <c r="D151"/>
  <c r="D166"/>
  <c r="E166"/>
  <c r="H166"/>
  <c r="L166"/>
  <c r="L161"/>
  <c r="M166"/>
  <c r="X166"/>
  <c r="R166"/>
  <c r="S166"/>
  <c r="U166"/>
  <c r="Y166"/>
  <c r="Z166"/>
  <c r="W166"/>
  <c r="AA166"/>
  <c r="AB166"/>
  <c r="AD166"/>
  <c r="U161"/>
  <c r="Y161"/>
  <c r="Z161"/>
  <c r="AA161"/>
  <c r="AB161"/>
  <c r="AD161"/>
  <c r="AP166"/>
  <c r="AO166"/>
  <c r="AN166"/>
  <c r="AG166"/>
  <c r="AG161"/>
  <c r="AM166"/>
  <c r="T151"/>
  <c r="AK151"/>
  <c r="AK166"/>
  <c r="AE166"/>
  <c r="AJ166"/>
  <c r="I166"/>
  <c r="AI166"/>
  <c r="AC166"/>
  <c r="AH166"/>
  <c r="T166"/>
  <c r="G166"/>
  <c r="C166"/>
  <c r="B150"/>
  <c r="B165"/>
  <c r="P165"/>
  <c r="Q165"/>
  <c r="AQ165"/>
  <c r="F150"/>
  <c r="F165"/>
  <c r="E150"/>
  <c r="G150"/>
  <c r="I150"/>
  <c r="D150"/>
  <c r="D165"/>
  <c r="E165"/>
  <c r="H165"/>
  <c r="L165"/>
  <c r="M165"/>
  <c r="X165"/>
  <c r="R165"/>
  <c r="S165"/>
  <c r="U165"/>
  <c r="Y165"/>
  <c r="Z165"/>
  <c r="W165"/>
  <c r="AA165"/>
  <c r="AB165"/>
  <c r="AD165"/>
  <c r="AP165"/>
  <c r="AO165"/>
  <c r="AN165"/>
  <c r="AG165"/>
  <c r="AM165"/>
  <c r="T150"/>
  <c r="AK150"/>
  <c r="AK165"/>
  <c r="AE165"/>
  <c r="AJ165"/>
  <c r="I165"/>
  <c r="AI165"/>
  <c r="AC165"/>
  <c r="AH165"/>
  <c r="T165"/>
  <c r="G165"/>
  <c r="C165"/>
  <c r="B149"/>
  <c r="B164"/>
  <c r="P164"/>
  <c r="Q164"/>
  <c r="AQ164"/>
  <c r="F149"/>
  <c r="F164"/>
  <c r="E149"/>
  <c r="G149"/>
  <c r="I149"/>
  <c r="D149"/>
  <c r="D164"/>
  <c r="E164"/>
  <c r="H164"/>
  <c r="L164"/>
  <c r="M164"/>
  <c r="X164"/>
  <c r="R164"/>
  <c r="S164"/>
  <c r="U164"/>
  <c r="Y164"/>
  <c r="Z164"/>
  <c r="W164"/>
  <c r="AA164"/>
  <c r="AB164"/>
  <c r="AD164"/>
  <c r="AP164"/>
  <c r="AO164"/>
  <c r="AN164"/>
  <c r="AG164"/>
  <c r="AM164"/>
  <c r="T149"/>
  <c r="AK149"/>
  <c r="AK164"/>
  <c r="AE164"/>
  <c r="AJ164"/>
  <c r="I164"/>
  <c r="AI164"/>
  <c r="AC164"/>
  <c r="AH164"/>
  <c r="T164"/>
  <c r="G164"/>
  <c r="C164"/>
  <c r="B148"/>
  <c r="B163"/>
  <c r="P163"/>
  <c r="Q163"/>
  <c r="AQ163"/>
  <c r="F148"/>
  <c r="F163"/>
  <c r="E148"/>
  <c r="G148"/>
  <c r="I148"/>
  <c r="D148"/>
  <c r="D163"/>
  <c r="E163"/>
  <c r="H163"/>
  <c r="L163"/>
  <c r="M163"/>
  <c r="X163"/>
  <c r="R163"/>
  <c r="S163"/>
  <c r="U163"/>
  <c r="Y163"/>
  <c r="Z163"/>
  <c r="W163"/>
  <c r="AA163"/>
  <c r="AB163"/>
  <c r="AD163"/>
  <c r="AP163"/>
  <c r="AO163"/>
  <c r="AN163"/>
  <c r="AG163"/>
  <c r="AM163"/>
  <c r="T148"/>
  <c r="AK148"/>
  <c r="AK163"/>
  <c r="AE163"/>
  <c r="AJ163"/>
  <c r="I163"/>
  <c r="AI163"/>
  <c r="AC163"/>
  <c r="AH163"/>
  <c r="T163"/>
  <c r="G163"/>
  <c r="C163"/>
  <c r="B147"/>
  <c r="B162"/>
  <c r="P162"/>
  <c r="Q162"/>
  <c r="AQ162"/>
  <c r="F147"/>
  <c r="F162"/>
  <c r="E147"/>
  <c r="G147"/>
  <c r="I147"/>
  <c r="D147"/>
  <c r="D162"/>
  <c r="E162"/>
  <c r="H162"/>
  <c r="L162"/>
  <c r="M162"/>
  <c r="X162"/>
  <c r="R162"/>
  <c r="S162"/>
  <c r="U162"/>
  <c r="Y162"/>
  <c r="Z162"/>
  <c r="W162"/>
  <c r="AA162"/>
  <c r="AB162"/>
  <c r="AD162"/>
  <c r="AP162"/>
  <c r="AO162"/>
  <c r="AN162"/>
  <c r="AG162"/>
  <c r="AM162"/>
  <c r="T147"/>
  <c r="AK147"/>
  <c r="AK162"/>
  <c r="AE162"/>
  <c r="AJ162"/>
  <c r="I162"/>
  <c r="AI162"/>
  <c r="AC162"/>
  <c r="AH162"/>
  <c r="T162"/>
  <c r="G162"/>
  <c r="C162"/>
  <c r="AQ161"/>
  <c r="AP161"/>
  <c r="AO161"/>
  <c r="AN161"/>
  <c r="AM161"/>
  <c r="T146"/>
  <c r="AK146"/>
  <c r="AK161"/>
  <c r="AE161"/>
  <c r="AJ161"/>
  <c r="I161"/>
  <c r="AI161"/>
  <c r="AC161"/>
  <c r="AH161"/>
  <c r="M161"/>
  <c r="G161"/>
  <c r="B145"/>
  <c r="B160"/>
  <c r="P160"/>
  <c r="Q160"/>
  <c r="AQ160"/>
  <c r="F145"/>
  <c r="F160"/>
  <c r="E145"/>
  <c r="G145"/>
  <c r="I145"/>
  <c r="D145"/>
  <c r="D160"/>
  <c r="E160"/>
  <c r="H160"/>
  <c r="L160"/>
  <c r="M160"/>
  <c r="X160"/>
  <c r="R160"/>
  <c r="S160"/>
  <c r="U160"/>
  <c r="Y160"/>
  <c r="Z160"/>
  <c r="W160"/>
  <c r="AA160"/>
  <c r="AB160"/>
  <c r="AD160"/>
  <c r="AP160"/>
  <c r="AO160"/>
  <c r="AN160"/>
  <c r="AG160"/>
  <c r="AM160"/>
  <c r="T145"/>
  <c r="AK145"/>
  <c r="AK160"/>
  <c r="AE160"/>
  <c r="AJ160"/>
  <c r="I160"/>
  <c r="AI160"/>
  <c r="AC160"/>
  <c r="AH160"/>
  <c r="T160"/>
  <c r="G160"/>
  <c r="C160"/>
  <c r="B144"/>
  <c r="B159"/>
  <c r="P159"/>
  <c r="Q159"/>
  <c r="AQ159"/>
  <c r="F144"/>
  <c r="F159"/>
  <c r="E144"/>
  <c r="G144"/>
  <c r="I144"/>
  <c r="D144"/>
  <c r="D159"/>
  <c r="E159"/>
  <c r="H159"/>
  <c r="L159"/>
  <c r="M159"/>
  <c r="X159"/>
  <c r="R159"/>
  <c r="S159"/>
  <c r="U159"/>
  <c r="Y159"/>
  <c r="Z159"/>
  <c r="W159"/>
  <c r="AA159"/>
  <c r="AB159"/>
  <c r="AD159"/>
  <c r="AP159"/>
  <c r="AO159"/>
  <c r="AN159"/>
  <c r="AG159"/>
  <c r="AM159"/>
  <c r="T144"/>
  <c r="AK144"/>
  <c r="AK159"/>
  <c r="AE159"/>
  <c r="AJ159"/>
  <c r="I159"/>
  <c r="AI159"/>
  <c r="AC159"/>
  <c r="AH159"/>
  <c r="T159"/>
  <c r="G159"/>
  <c r="C159"/>
  <c r="B143"/>
  <c r="B158"/>
  <c r="P158"/>
  <c r="Q158"/>
  <c r="AQ158"/>
  <c r="F143"/>
  <c r="F158"/>
  <c r="E143"/>
  <c r="G143"/>
  <c r="I143"/>
  <c r="D143"/>
  <c r="D158"/>
  <c r="E158"/>
  <c r="H158"/>
  <c r="L158"/>
  <c r="M158"/>
  <c r="X158"/>
  <c r="R158"/>
  <c r="S158"/>
  <c r="U158"/>
  <c r="Y158"/>
  <c r="Z158"/>
  <c r="W158"/>
  <c r="AA158"/>
  <c r="AB158"/>
  <c r="AD158"/>
  <c r="AP158"/>
  <c r="AO158"/>
  <c r="AN158"/>
  <c r="AG158"/>
  <c r="AM158"/>
  <c r="T143"/>
  <c r="AK143"/>
  <c r="AK158"/>
  <c r="AE158"/>
  <c r="AJ158"/>
  <c r="I158"/>
  <c r="AI158"/>
  <c r="AC158"/>
  <c r="AH158"/>
  <c r="T158"/>
  <c r="G158"/>
  <c r="C158"/>
  <c r="B142"/>
  <c r="B157"/>
  <c r="P157"/>
  <c r="Q157"/>
  <c r="AQ157"/>
  <c r="F142"/>
  <c r="F157"/>
  <c r="E142"/>
  <c r="G142"/>
  <c r="I142"/>
  <c r="D142"/>
  <c r="D157"/>
  <c r="E157"/>
  <c r="H157"/>
  <c r="L157"/>
  <c r="M157"/>
  <c r="X157"/>
  <c r="R157"/>
  <c r="S157"/>
  <c r="U157"/>
  <c r="Y157"/>
  <c r="Z157"/>
  <c r="W157"/>
  <c r="AA157"/>
  <c r="AB157"/>
  <c r="AD157"/>
  <c r="AP157"/>
  <c r="AO157"/>
  <c r="AN157"/>
  <c r="AG157"/>
  <c r="AM157"/>
  <c r="T142"/>
  <c r="AK142"/>
  <c r="AK157"/>
  <c r="AE157"/>
  <c r="AJ157"/>
  <c r="I157"/>
  <c r="AI157"/>
  <c r="AC157"/>
  <c r="AH157"/>
  <c r="T157"/>
  <c r="G157"/>
  <c r="C157"/>
  <c r="B141"/>
  <c r="B156"/>
  <c r="P156"/>
  <c r="Q156"/>
  <c r="AQ156"/>
  <c r="F141"/>
  <c r="F156"/>
  <c r="E141"/>
  <c r="G141"/>
  <c r="I141"/>
  <c r="D141"/>
  <c r="D156"/>
  <c r="E156"/>
  <c r="H156"/>
  <c r="L156"/>
  <c r="M156"/>
  <c r="X156"/>
  <c r="R156"/>
  <c r="S156"/>
  <c r="U156"/>
  <c r="Y156"/>
  <c r="Z156"/>
  <c r="W156"/>
  <c r="AA156"/>
  <c r="AB156"/>
  <c r="AD156"/>
  <c r="AP156"/>
  <c r="AO156"/>
  <c r="AN156"/>
  <c r="AG156"/>
  <c r="AM156"/>
  <c r="T141"/>
  <c r="AK141"/>
  <c r="AK156"/>
  <c r="AE156"/>
  <c r="AJ156"/>
  <c r="I156"/>
  <c r="AI156"/>
  <c r="AC156"/>
  <c r="AH156"/>
  <c r="T156"/>
  <c r="G156"/>
  <c r="C156"/>
  <c r="AK140"/>
  <c r="AK155"/>
  <c r="AQ155"/>
  <c r="AP155"/>
  <c r="AO155"/>
  <c r="AN155"/>
  <c r="AG155"/>
  <c r="AM155"/>
  <c r="I146"/>
  <c r="P146"/>
  <c r="P151"/>
  <c r="Q151"/>
  <c r="Q146"/>
  <c r="AQ151"/>
  <c r="C151"/>
  <c r="J151"/>
  <c r="C146"/>
  <c r="J146"/>
  <c r="AP151"/>
  <c r="AO151"/>
  <c r="K151"/>
  <c r="K146"/>
  <c r="AN151"/>
  <c r="AG151"/>
  <c r="AG146"/>
  <c r="AM151"/>
  <c r="O151"/>
  <c r="AJ151"/>
  <c r="N151"/>
  <c r="AI151"/>
  <c r="M151"/>
  <c r="AH151"/>
  <c r="S151"/>
  <c r="R151"/>
  <c r="H151"/>
  <c r="P150"/>
  <c r="Q150"/>
  <c r="AQ150"/>
  <c r="C150"/>
  <c r="J150"/>
  <c r="AP150"/>
  <c r="AO150"/>
  <c r="K150"/>
  <c r="AN150"/>
  <c r="AG150"/>
  <c r="AM150"/>
  <c r="O150"/>
  <c r="AJ150"/>
  <c r="N150"/>
  <c r="AI150"/>
  <c r="M150"/>
  <c r="AH150"/>
  <c r="S150"/>
  <c r="R150"/>
  <c r="H150"/>
  <c r="P149"/>
  <c r="Q149"/>
  <c r="AQ149"/>
  <c r="C149"/>
  <c r="J149"/>
  <c r="AP149"/>
  <c r="AO149"/>
  <c r="K149"/>
  <c r="AN149"/>
  <c r="AG149"/>
  <c r="AM149"/>
  <c r="O149"/>
  <c r="AJ149"/>
  <c r="N149"/>
  <c r="AI149"/>
  <c r="M149"/>
  <c r="AH149"/>
  <c r="S149"/>
  <c r="R149"/>
  <c r="H149"/>
  <c r="P148"/>
  <c r="Q148"/>
  <c r="AQ148"/>
  <c r="C148"/>
  <c r="J148"/>
  <c r="AP148"/>
  <c r="AO148"/>
  <c r="K148"/>
  <c r="AN148"/>
  <c r="AG148"/>
  <c r="AM148"/>
  <c r="O148"/>
  <c r="AJ148"/>
  <c r="N148"/>
  <c r="AI148"/>
  <c r="M148"/>
  <c r="AH148"/>
  <c r="S148"/>
  <c r="R148"/>
  <c r="H148"/>
  <c r="P147"/>
  <c r="Q147"/>
  <c r="AQ147"/>
  <c r="C147"/>
  <c r="J147"/>
  <c r="AP147"/>
  <c r="AO147"/>
  <c r="K147"/>
  <c r="AN147"/>
  <c r="AG147"/>
  <c r="AM147"/>
  <c r="O147"/>
  <c r="AJ147"/>
  <c r="N147"/>
  <c r="AI147"/>
  <c r="M147"/>
  <c r="AH147"/>
  <c r="S147"/>
  <c r="R147"/>
  <c r="H147"/>
  <c r="AQ146"/>
  <c r="AP146"/>
  <c r="AO146"/>
  <c r="AN146"/>
  <c r="AM146"/>
  <c r="O146"/>
  <c r="AJ146"/>
  <c r="N146"/>
  <c r="AI146"/>
  <c r="M146"/>
  <c r="AH146"/>
  <c r="S146"/>
  <c r="R146"/>
  <c r="H146"/>
  <c r="P145"/>
  <c r="Q145"/>
  <c r="AQ145"/>
  <c r="C145"/>
  <c r="J145"/>
  <c r="AP145"/>
  <c r="AO145"/>
  <c r="K145"/>
  <c r="AN145"/>
  <c r="AG145"/>
  <c r="AM145"/>
  <c r="O145"/>
  <c r="AJ145"/>
  <c r="N145"/>
  <c r="AI145"/>
  <c r="M145"/>
  <c r="AH145"/>
  <c r="S145"/>
  <c r="R145"/>
  <c r="H145"/>
  <c r="P144"/>
  <c r="Q144"/>
  <c r="AQ144"/>
  <c r="C144"/>
  <c r="J144"/>
  <c r="AP144"/>
  <c r="AO144"/>
  <c r="K144"/>
  <c r="AN144"/>
  <c r="AG144"/>
  <c r="AM144"/>
  <c r="O144"/>
  <c r="AJ144"/>
  <c r="N144"/>
  <c r="AI144"/>
  <c r="M144"/>
  <c r="AH144"/>
  <c r="S144"/>
  <c r="R144"/>
  <c r="H144"/>
  <c r="P143"/>
  <c r="Q143"/>
  <c r="AQ143"/>
  <c r="C143"/>
  <c r="J143"/>
  <c r="AP143"/>
  <c r="AO143"/>
  <c r="K143"/>
  <c r="AN143"/>
  <c r="AG143"/>
  <c r="AM143"/>
  <c r="O143"/>
  <c r="AJ143"/>
  <c r="N143"/>
  <c r="AI143"/>
  <c r="M143"/>
  <c r="AH143"/>
  <c r="S143"/>
  <c r="R143"/>
  <c r="H143"/>
  <c r="P142"/>
  <c r="Q142"/>
  <c r="AQ142"/>
  <c r="C142"/>
  <c r="J142"/>
  <c r="AP142"/>
  <c r="AO142"/>
  <c r="K142"/>
  <c r="AN142"/>
  <c r="AG142"/>
  <c r="AM142"/>
  <c r="O142"/>
  <c r="AJ142"/>
  <c r="N142"/>
  <c r="AI142"/>
  <c r="M142"/>
  <c r="AH142"/>
  <c r="S142"/>
  <c r="R142"/>
  <c r="H142"/>
  <c r="P141"/>
  <c r="Q141"/>
  <c r="AQ141"/>
  <c r="C141"/>
  <c r="J141"/>
  <c r="AP141"/>
  <c r="AO141"/>
  <c r="K141"/>
  <c r="AN141"/>
  <c r="AG141"/>
  <c r="AM141"/>
  <c r="O141"/>
  <c r="AJ141"/>
  <c r="N141"/>
  <c r="AI141"/>
  <c r="M141"/>
  <c r="AH141"/>
  <c r="S141"/>
  <c r="R141"/>
  <c r="H141"/>
  <c r="AQ140"/>
  <c r="AP140"/>
  <c r="AO140"/>
  <c r="AN140"/>
  <c r="AG140"/>
  <c r="AM140"/>
  <c r="B121"/>
  <c r="B136"/>
  <c r="P136"/>
  <c r="Q136"/>
  <c r="B131"/>
  <c r="Q131"/>
  <c r="AQ136"/>
  <c r="E131"/>
  <c r="C131"/>
  <c r="J131"/>
  <c r="F131"/>
  <c r="D131"/>
  <c r="H131"/>
  <c r="K131"/>
  <c r="N131"/>
  <c r="S131"/>
  <c r="W131"/>
  <c r="O131"/>
  <c r="T131"/>
  <c r="V131"/>
  <c r="X131"/>
  <c r="F121"/>
  <c r="F136"/>
  <c r="D121"/>
  <c r="D136"/>
  <c r="E121"/>
  <c r="E136"/>
  <c r="H136"/>
  <c r="L136"/>
  <c r="L131"/>
  <c r="M136"/>
  <c r="X136"/>
  <c r="R136"/>
  <c r="S136"/>
  <c r="U136"/>
  <c r="Y136"/>
  <c r="Z136"/>
  <c r="W136"/>
  <c r="AA136"/>
  <c r="AB136"/>
  <c r="AD136"/>
  <c r="U131"/>
  <c r="Y131"/>
  <c r="Z131"/>
  <c r="AA131"/>
  <c r="AB131"/>
  <c r="AD131"/>
  <c r="AP136"/>
  <c r="AO136"/>
  <c r="AN136"/>
  <c r="AG136"/>
  <c r="AG131"/>
  <c r="AM136"/>
  <c r="I116"/>
  <c r="P116"/>
  <c r="I121"/>
  <c r="P121"/>
  <c r="Q121"/>
  <c r="AK136"/>
  <c r="AE136"/>
  <c r="AJ136"/>
  <c r="I136"/>
  <c r="AI136"/>
  <c r="AC136"/>
  <c r="AH136"/>
  <c r="T136"/>
  <c r="G136"/>
  <c r="C136"/>
  <c r="B120"/>
  <c r="B135"/>
  <c r="P135"/>
  <c r="Q135"/>
  <c r="AQ135"/>
  <c r="F120"/>
  <c r="F135"/>
  <c r="D120"/>
  <c r="D135"/>
  <c r="E120"/>
  <c r="E135"/>
  <c r="H135"/>
  <c r="L135"/>
  <c r="M135"/>
  <c r="X135"/>
  <c r="R135"/>
  <c r="S135"/>
  <c r="U135"/>
  <c r="Y135"/>
  <c r="Z135"/>
  <c r="W135"/>
  <c r="AA135"/>
  <c r="AB135"/>
  <c r="AD135"/>
  <c r="AP135"/>
  <c r="AO135"/>
  <c r="AN135"/>
  <c r="AG135"/>
  <c r="AM135"/>
  <c r="I120"/>
  <c r="P120"/>
  <c r="Q120"/>
  <c r="AK135"/>
  <c r="AE135"/>
  <c r="AJ135"/>
  <c r="I135"/>
  <c r="AI135"/>
  <c r="AC135"/>
  <c r="AH135"/>
  <c r="T135"/>
  <c r="G135"/>
  <c r="C135"/>
  <c r="B119"/>
  <c r="B134"/>
  <c r="P134"/>
  <c r="Q134"/>
  <c r="AQ134"/>
  <c r="F119"/>
  <c r="F134"/>
  <c r="D119"/>
  <c r="D134"/>
  <c r="E119"/>
  <c r="E134"/>
  <c r="H134"/>
  <c r="L134"/>
  <c r="M134"/>
  <c r="X134"/>
  <c r="R134"/>
  <c r="S134"/>
  <c r="U134"/>
  <c r="Y134"/>
  <c r="Z134"/>
  <c r="W134"/>
  <c r="AA134"/>
  <c r="AB134"/>
  <c r="AD134"/>
  <c r="AP134"/>
  <c r="AO134"/>
  <c r="AN134"/>
  <c r="AG134"/>
  <c r="AM134"/>
  <c r="I119"/>
  <c r="P119"/>
  <c r="Q119"/>
  <c r="AK134"/>
  <c r="AE134"/>
  <c r="AJ134"/>
  <c r="I134"/>
  <c r="AI134"/>
  <c r="AC134"/>
  <c r="AH134"/>
  <c r="T134"/>
  <c r="G134"/>
  <c r="C134"/>
  <c r="B118"/>
  <c r="B133"/>
  <c r="P133"/>
  <c r="Q133"/>
  <c r="AQ133"/>
  <c r="F118"/>
  <c r="F133"/>
  <c r="D118"/>
  <c r="D133"/>
  <c r="E118"/>
  <c r="E133"/>
  <c r="H133"/>
  <c r="L133"/>
  <c r="M133"/>
  <c r="X133"/>
  <c r="R133"/>
  <c r="S133"/>
  <c r="U133"/>
  <c r="Y133"/>
  <c r="Z133"/>
  <c r="W133"/>
  <c r="AA133"/>
  <c r="AB133"/>
  <c r="AD133"/>
  <c r="AP133"/>
  <c r="AO133"/>
  <c r="AN133"/>
  <c r="AG133"/>
  <c r="AM133"/>
  <c r="I118"/>
  <c r="P118"/>
  <c r="Q118"/>
  <c r="AK133"/>
  <c r="AE133"/>
  <c r="AJ133"/>
  <c r="I133"/>
  <c r="AI133"/>
  <c r="AC133"/>
  <c r="AH133"/>
  <c r="T133"/>
  <c r="G133"/>
  <c r="C133"/>
  <c r="B117"/>
  <c r="B132"/>
  <c r="P132"/>
  <c r="Q132"/>
  <c r="AQ132"/>
  <c r="F117"/>
  <c r="F132"/>
  <c r="E117"/>
  <c r="E132"/>
  <c r="H132"/>
  <c r="L132"/>
  <c r="M132"/>
  <c r="X132"/>
  <c r="R132"/>
  <c r="S132"/>
  <c r="U132"/>
  <c r="Y132"/>
  <c r="Z132"/>
  <c r="W132"/>
  <c r="AA132"/>
  <c r="AB132"/>
  <c r="AD132"/>
  <c r="AP132"/>
  <c r="AO132"/>
  <c r="AN132"/>
  <c r="AG132"/>
  <c r="AM132"/>
  <c r="D117"/>
  <c r="I117"/>
  <c r="P117"/>
  <c r="Q117"/>
  <c r="AK132"/>
  <c r="AE132"/>
  <c r="AJ132"/>
  <c r="I132"/>
  <c r="AI132"/>
  <c r="AC132"/>
  <c r="AH132"/>
  <c r="T132"/>
  <c r="G132"/>
  <c r="D132"/>
  <c r="C132"/>
  <c r="AQ131"/>
  <c r="AP131"/>
  <c r="AO131"/>
  <c r="AN131"/>
  <c r="AM131"/>
  <c r="Q116"/>
  <c r="AK131"/>
  <c r="AE131"/>
  <c r="AJ131"/>
  <c r="I131"/>
  <c r="AI131"/>
  <c r="AC131"/>
  <c r="AH131"/>
  <c r="M131"/>
  <c r="G131"/>
  <c r="B115"/>
  <c r="B130"/>
  <c r="P130"/>
  <c r="Q130"/>
  <c r="AQ130"/>
  <c r="F115"/>
  <c r="F130"/>
  <c r="D115"/>
  <c r="D130"/>
  <c r="E115"/>
  <c r="E130"/>
  <c r="H130"/>
  <c r="L130"/>
  <c r="M130"/>
  <c r="X130"/>
  <c r="R130"/>
  <c r="S130"/>
  <c r="U130"/>
  <c r="Y130"/>
  <c r="Z130"/>
  <c r="W130"/>
  <c r="AA130"/>
  <c r="AB130"/>
  <c r="AD130"/>
  <c r="AP130"/>
  <c r="AO130"/>
  <c r="AN130"/>
  <c r="AG130"/>
  <c r="AM130"/>
  <c r="I115"/>
  <c r="P115"/>
  <c r="Q115"/>
  <c r="AK130"/>
  <c r="AE130"/>
  <c r="AJ130"/>
  <c r="I130"/>
  <c r="AI130"/>
  <c r="AC130"/>
  <c r="AH130"/>
  <c r="T130"/>
  <c r="G130"/>
  <c r="C130"/>
  <c r="B114"/>
  <c r="B129"/>
  <c r="P129"/>
  <c r="Q129"/>
  <c r="AQ129"/>
  <c r="F114"/>
  <c r="F129"/>
  <c r="D114"/>
  <c r="D129"/>
  <c r="E114"/>
  <c r="E129"/>
  <c r="H129"/>
  <c r="L129"/>
  <c r="M129"/>
  <c r="X129"/>
  <c r="R129"/>
  <c r="S129"/>
  <c r="U129"/>
  <c r="Y129"/>
  <c r="Z129"/>
  <c r="W129"/>
  <c r="AA129"/>
  <c r="AB129"/>
  <c r="AD129"/>
  <c r="AP129"/>
  <c r="AO129"/>
  <c r="AN129"/>
  <c r="AG129"/>
  <c r="AM129"/>
  <c r="I114"/>
  <c r="P114"/>
  <c r="Q114"/>
  <c r="AK129"/>
  <c r="AE129"/>
  <c r="AJ129"/>
  <c r="I129"/>
  <c r="AI129"/>
  <c r="AC129"/>
  <c r="AH129"/>
  <c r="T129"/>
  <c r="G129"/>
  <c r="C129"/>
  <c r="B113"/>
  <c r="B128"/>
  <c r="P128"/>
  <c r="Q128"/>
  <c r="AQ128"/>
  <c r="F113"/>
  <c r="F128"/>
  <c r="D113"/>
  <c r="D128"/>
  <c r="E113"/>
  <c r="E128"/>
  <c r="H128"/>
  <c r="L128"/>
  <c r="M128"/>
  <c r="X128"/>
  <c r="R128"/>
  <c r="S128"/>
  <c r="U128"/>
  <c r="Y128"/>
  <c r="Z128"/>
  <c r="W128"/>
  <c r="AA128"/>
  <c r="AB128"/>
  <c r="AD128"/>
  <c r="AP128"/>
  <c r="AO128"/>
  <c r="AN128"/>
  <c r="AG128"/>
  <c r="AM128"/>
  <c r="I113"/>
  <c r="P113"/>
  <c r="Q113"/>
  <c r="AK128"/>
  <c r="AE128"/>
  <c r="AJ128"/>
  <c r="I128"/>
  <c r="AI128"/>
  <c r="AC128"/>
  <c r="AH128"/>
  <c r="T128"/>
  <c r="G128"/>
  <c r="C128"/>
  <c r="B112"/>
  <c r="B127"/>
  <c r="P127"/>
  <c r="Q127"/>
  <c r="AQ127"/>
  <c r="F112"/>
  <c r="F127"/>
  <c r="D112"/>
  <c r="D127"/>
  <c r="E112"/>
  <c r="E127"/>
  <c r="H127"/>
  <c r="L127"/>
  <c r="M127"/>
  <c r="X127"/>
  <c r="R127"/>
  <c r="S127"/>
  <c r="U127"/>
  <c r="Y127"/>
  <c r="Z127"/>
  <c r="W127"/>
  <c r="AA127"/>
  <c r="AB127"/>
  <c r="AD127"/>
  <c r="AP127"/>
  <c r="AO127"/>
  <c r="AN127"/>
  <c r="AG127"/>
  <c r="AM127"/>
  <c r="I112"/>
  <c r="P112"/>
  <c r="Q112"/>
  <c r="AK127"/>
  <c r="AE127"/>
  <c r="AJ127"/>
  <c r="I127"/>
  <c r="AI127"/>
  <c r="AC127"/>
  <c r="AH127"/>
  <c r="T127"/>
  <c r="G127"/>
  <c r="C127"/>
  <c r="B111"/>
  <c r="B126"/>
  <c r="P126"/>
  <c r="Q126"/>
  <c r="AQ126"/>
  <c r="F111"/>
  <c r="F126"/>
  <c r="D111"/>
  <c r="D126"/>
  <c r="E111"/>
  <c r="E126"/>
  <c r="H126"/>
  <c r="L126"/>
  <c r="M126"/>
  <c r="X126"/>
  <c r="R126"/>
  <c r="S126"/>
  <c r="U126"/>
  <c r="Y126"/>
  <c r="Z126"/>
  <c r="W126"/>
  <c r="AA126"/>
  <c r="AB126"/>
  <c r="AD126"/>
  <c r="AP126"/>
  <c r="AO126"/>
  <c r="AN126"/>
  <c r="AG126"/>
  <c r="AM126"/>
  <c r="I111"/>
  <c r="P111"/>
  <c r="Q111"/>
  <c r="AK126"/>
  <c r="AE126"/>
  <c r="AJ126"/>
  <c r="I126"/>
  <c r="AI126"/>
  <c r="AC126"/>
  <c r="AH126"/>
  <c r="T126"/>
  <c r="G126"/>
  <c r="C126"/>
  <c r="AK125"/>
  <c r="AQ125"/>
  <c r="AP125"/>
  <c r="AO125"/>
  <c r="AN125"/>
  <c r="AG125"/>
  <c r="AM125"/>
  <c r="AQ121"/>
  <c r="C116"/>
  <c r="C121"/>
  <c r="J121"/>
  <c r="J116"/>
  <c r="AP121"/>
  <c r="AO121"/>
  <c r="K121"/>
  <c r="K116"/>
  <c r="AN121"/>
  <c r="AG121"/>
  <c r="AG116"/>
  <c r="AM121"/>
  <c r="AK121"/>
  <c r="O121"/>
  <c r="AJ121"/>
  <c r="N121"/>
  <c r="AI121"/>
  <c r="M121"/>
  <c r="AH121"/>
  <c r="T121"/>
  <c r="S121"/>
  <c r="R121"/>
  <c r="G121"/>
  <c r="AQ120"/>
  <c r="C120"/>
  <c r="J120"/>
  <c r="AP120"/>
  <c r="AO120"/>
  <c r="K120"/>
  <c r="AN120"/>
  <c r="AG120"/>
  <c r="AM120"/>
  <c r="AK120"/>
  <c r="O120"/>
  <c r="AJ120"/>
  <c r="N120"/>
  <c r="AI120"/>
  <c r="M120"/>
  <c r="AH120"/>
  <c r="T120"/>
  <c r="S120"/>
  <c r="R120"/>
  <c r="G120"/>
  <c r="AQ119"/>
  <c r="C119"/>
  <c r="J119"/>
  <c r="AP119"/>
  <c r="AO119"/>
  <c r="K119"/>
  <c r="AN119"/>
  <c r="AG119"/>
  <c r="AM119"/>
  <c r="AK119"/>
  <c r="O119"/>
  <c r="AJ119"/>
  <c r="N119"/>
  <c r="AI119"/>
  <c r="M119"/>
  <c r="AH119"/>
  <c r="T119"/>
  <c r="S119"/>
  <c r="R119"/>
  <c r="G119"/>
  <c r="AQ118"/>
  <c r="C118"/>
  <c r="J118"/>
  <c r="AP118"/>
  <c r="AO118"/>
  <c r="K118"/>
  <c r="AN118"/>
  <c r="AG118"/>
  <c r="AM118"/>
  <c r="AK118"/>
  <c r="O118"/>
  <c r="AJ118"/>
  <c r="N118"/>
  <c r="AI118"/>
  <c r="M118"/>
  <c r="AH118"/>
  <c r="T118"/>
  <c r="S118"/>
  <c r="R118"/>
  <c r="G118"/>
  <c r="AQ117"/>
  <c r="C117"/>
  <c r="J117"/>
  <c r="AP117"/>
  <c r="AO117"/>
  <c r="K117"/>
  <c r="AN117"/>
  <c r="AG117"/>
  <c r="AM117"/>
  <c r="AK117"/>
  <c r="O117"/>
  <c r="AJ117"/>
  <c r="N117"/>
  <c r="AI117"/>
  <c r="M117"/>
  <c r="AH117"/>
  <c r="T117"/>
  <c r="S117"/>
  <c r="R117"/>
  <c r="G117"/>
  <c r="AQ116"/>
  <c r="AP116"/>
  <c r="AO116"/>
  <c r="AN116"/>
  <c r="AM116"/>
  <c r="AK116"/>
  <c r="O116"/>
  <c r="AJ116"/>
  <c r="N116"/>
  <c r="AI116"/>
  <c r="M116"/>
  <c r="AH116"/>
  <c r="T116"/>
  <c r="S116"/>
  <c r="R116"/>
  <c r="G116"/>
  <c r="AQ115"/>
  <c r="C115"/>
  <c r="J115"/>
  <c r="AP115"/>
  <c r="AO115"/>
  <c r="K115"/>
  <c r="AN115"/>
  <c r="AG115"/>
  <c r="AM115"/>
  <c r="AK115"/>
  <c r="O115"/>
  <c r="AJ115"/>
  <c r="N115"/>
  <c r="AI115"/>
  <c r="M115"/>
  <c r="AH115"/>
  <c r="T115"/>
  <c r="S115"/>
  <c r="R115"/>
  <c r="G115"/>
  <c r="AQ114"/>
  <c r="C114"/>
  <c r="J114"/>
  <c r="AP114"/>
  <c r="AO114"/>
  <c r="K114"/>
  <c r="AN114"/>
  <c r="AG114"/>
  <c r="AM114"/>
  <c r="AK114"/>
  <c r="O114"/>
  <c r="AJ114"/>
  <c r="N114"/>
  <c r="AI114"/>
  <c r="M114"/>
  <c r="AH114"/>
  <c r="T114"/>
  <c r="S114"/>
  <c r="R114"/>
  <c r="G114"/>
  <c r="AQ113"/>
  <c r="C113"/>
  <c r="J113"/>
  <c r="AP113"/>
  <c r="AO113"/>
  <c r="K113"/>
  <c r="AN113"/>
  <c r="AG113"/>
  <c r="AM113"/>
  <c r="AK113"/>
  <c r="O113"/>
  <c r="AJ113"/>
  <c r="N113"/>
  <c r="AI113"/>
  <c r="M113"/>
  <c r="AH113"/>
  <c r="T113"/>
  <c r="S113"/>
  <c r="R113"/>
  <c r="G113"/>
  <c r="AQ112"/>
  <c r="C112"/>
  <c r="J112"/>
  <c r="AP112"/>
  <c r="AO112"/>
  <c r="K112"/>
  <c r="AN112"/>
  <c r="AG112"/>
  <c r="AM112"/>
  <c r="AK112"/>
  <c r="O112"/>
  <c r="AJ112"/>
  <c r="N112"/>
  <c r="AI112"/>
  <c r="M112"/>
  <c r="AH112"/>
  <c r="T112"/>
  <c r="S112"/>
  <c r="R112"/>
  <c r="G112"/>
  <c r="AQ111"/>
  <c r="C111"/>
  <c r="J111"/>
  <c r="AP111"/>
  <c r="AO111"/>
  <c r="K111"/>
  <c r="AN111"/>
  <c r="AG111"/>
  <c r="AM111"/>
  <c r="AK111"/>
  <c r="O111"/>
  <c r="AJ111"/>
  <c r="N111"/>
  <c r="AI111"/>
  <c r="M111"/>
  <c r="AH111"/>
  <c r="T111"/>
  <c r="S111"/>
  <c r="R111"/>
  <c r="G111"/>
  <c r="AK110"/>
  <c r="AQ110"/>
  <c r="AP110"/>
  <c r="AO110"/>
  <c r="AN110"/>
  <c r="AG110"/>
  <c r="AM110"/>
  <c r="B90"/>
  <c r="B105"/>
  <c r="P105"/>
  <c r="Q105"/>
  <c r="B100"/>
  <c r="Q100"/>
  <c r="AQ105"/>
  <c r="E100"/>
  <c r="C100"/>
  <c r="J100"/>
  <c r="F100"/>
  <c r="H85"/>
  <c r="D100"/>
  <c r="H100"/>
  <c r="K100"/>
  <c r="N100"/>
  <c r="S100"/>
  <c r="W100"/>
  <c r="O100"/>
  <c r="T100"/>
  <c r="V100"/>
  <c r="X100"/>
  <c r="L100"/>
  <c r="L105"/>
  <c r="M105"/>
  <c r="X105"/>
  <c r="F90"/>
  <c r="F105"/>
  <c r="R105"/>
  <c r="S105"/>
  <c r="U105"/>
  <c r="Y105"/>
  <c r="Z105"/>
  <c r="E90"/>
  <c r="E105"/>
  <c r="W105"/>
  <c r="AA105"/>
  <c r="AB105"/>
  <c r="H105"/>
  <c r="AD105"/>
  <c r="U100"/>
  <c r="Y100"/>
  <c r="Z100"/>
  <c r="AA100"/>
  <c r="AB100"/>
  <c r="AD100"/>
  <c r="AP105"/>
  <c r="AO105"/>
  <c r="AN105"/>
  <c r="AG105"/>
  <c r="AG100"/>
  <c r="AM105"/>
  <c r="I85"/>
  <c r="I90"/>
  <c r="H90"/>
  <c r="T90"/>
  <c r="AK105"/>
  <c r="AE105"/>
  <c r="AJ105"/>
  <c r="I105"/>
  <c r="AI105"/>
  <c r="AC105"/>
  <c r="AH105"/>
  <c r="T105"/>
  <c r="G105"/>
  <c r="D105"/>
  <c r="C105"/>
  <c r="B89"/>
  <c r="B104"/>
  <c r="P104"/>
  <c r="Q104"/>
  <c r="AQ104"/>
  <c r="L104"/>
  <c r="M104"/>
  <c r="X104"/>
  <c r="F89"/>
  <c r="F104"/>
  <c r="R104"/>
  <c r="S104"/>
  <c r="U104"/>
  <c r="Y104"/>
  <c r="Z104"/>
  <c r="E89"/>
  <c r="E104"/>
  <c r="W104"/>
  <c r="AA104"/>
  <c r="AB104"/>
  <c r="H104"/>
  <c r="AD104"/>
  <c r="AP104"/>
  <c r="AO104"/>
  <c r="AN104"/>
  <c r="AG104"/>
  <c r="AM104"/>
  <c r="I89"/>
  <c r="H89"/>
  <c r="T89"/>
  <c r="AK104"/>
  <c r="AE104"/>
  <c r="AJ104"/>
  <c r="I104"/>
  <c r="AI104"/>
  <c r="AC104"/>
  <c r="AH104"/>
  <c r="T104"/>
  <c r="G104"/>
  <c r="D104"/>
  <c r="C104"/>
  <c r="B88"/>
  <c r="B103"/>
  <c r="P103"/>
  <c r="Q103"/>
  <c r="AQ103"/>
  <c r="L103"/>
  <c r="M103"/>
  <c r="X103"/>
  <c r="F88"/>
  <c r="F103"/>
  <c r="R103"/>
  <c r="S103"/>
  <c r="U103"/>
  <c r="Y103"/>
  <c r="Z103"/>
  <c r="E88"/>
  <c r="E103"/>
  <c r="W103"/>
  <c r="AA103"/>
  <c r="AB103"/>
  <c r="H103"/>
  <c r="AD103"/>
  <c r="AP103"/>
  <c r="AO103"/>
  <c r="AN103"/>
  <c r="AG103"/>
  <c r="AM103"/>
  <c r="I88"/>
  <c r="H88"/>
  <c r="T88"/>
  <c r="AK103"/>
  <c r="AE103"/>
  <c r="AJ103"/>
  <c r="I103"/>
  <c r="AI103"/>
  <c r="AC103"/>
  <c r="AH103"/>
  <c r="T103"/>
  <c r="G103"/>
  <c r="D103"/>
  <c r="C103"/>
  <c r="B87"/>
  <c r="B102"/>
  <c r="P102"/>
  <c r="Q102"/>
  <c r="AQ102"/>
  <c r="L102"/>
  <c r="M102"/>
  <c r="X102"/>
  <c r="F87"/>
  <c r="F102"/>
  <c r="R102"/>
  <c r="S102"/>
  <c r="U102"/>
  <c r="Y102"/>
  <c r="Z102"/>
  <c r="E87"/>
  <c r="E102"/>
  <c r="W102"/>
  <c r="AA102"/>
  <c r="AB102"/>
  <c r="H102"/>
  <c r="AD102"/>
  <c r="AP102"/>
  <c r="AO102"/>
  <c r="AN102"/>
  <c r="AG102"/>
  <c r="AM102"/>
  <c r="I87"/>
  <c r="H87"/>
  <c r="T87"/>
  <c r="AK102"/>
  <c r="AE102"/>
  <c r="AJ102"/>
  <c r="I102"/>
  <c r="AI102"/>
  <c r="AC102"/>
  <c r="AH102"/>
  <c r="T102"/>
  <c r="G102"/>
  <c r="D102"/>
  <c r="C102"/>
  <c r="B86"/>
  <c r="B101"/>
  <c r="P101"/>
  <c r="Q101"/>
  <c r="AQ101"/>
  <c r="L101"/>
  <c r="M101"/>
  <c r="X101"/>
  <c r="F86"/>
  <c r="F101"/>
  <c r="R101"/>
  <c r="S101"/>
  <c r="U101"/>
  <c r="Y101"/>
  <c r="Z101"/>
  <c r="E86"/>
  <c r="E101"/>
  <c r="W101"/>
  <c r="AA101"/>
  <c r="AB101"/>
  <c r="H101"/>
  <c r="AD101"/>
  <c r="AP101"/>
  <c r="AO101"/>
  <c r="AN101"/>
  <c r="AG101"/>
  <c r="AM101"/>
  <c r="I86"/>
  <c r="H86"/>
  <c r="T86"/>
  <c r="AK101"/>
  <c r="AE101"/>
  <c r="AJ101"/>
  <c r="I101"/>
  <c r="AI101"/>
  <c r="AC101"/>
  <c r="AH101"/>
  <c r="T101"/>
  <c r="G101"/>
  <c r="D101"/>
  <c r="C101"/>
  <c r="AQ100"/>
  <c r="AP100"/>
  <c r="AO100"/>
  <c r="AN100"/>
  <c r="AM100"/>
  <c r="T85"/>
  <c r="AK100"/>
  <c r="AE100"/>
  <c r="AJ100"/>
  <c r="I100"/>
  <c r="AI100"/>
  <c r="AC100"/>
  <c r="AH100"/>
  <c r="M100"/>
  <c r="G100"/>
  <c r="B84"/>
  <c r="B99"/>
  <c r="P99"/>
  <c r="Q99"/>
  <c r="AQ99"/>
  <c r="L99"/>
  <c r="M99"/>
  <c r="X99"/>
  <c r="F84"/>
  <c r="F99"/>
  <c r="R99"/>
  <c r="S99"/>
  <c r="U99"/>
  <c r="Y99"/>
  <c r="Z99"/>
  <c r="E84"/>
  <c r="E99"/>
  <c r="W99"/>
  <c r="AA99"/>
  <c r="AB99"/>
  <c r="H99"/>
  <c r="AD99"/>
  <c r="AP99"/>
  <c r="AO99"/>
  <c r="AN99"/>
  <c r="AG99"/>
  <c r="AM99"/>
  <c r="I84"/>
  <c r="H84"/>
  <c r="T84"/>
  <c r="AK99"/>
  <c r="AE99"/>
  <c r="AJ99"/>
  <c r="I99"/>
  <c r="AI99"/>
  <c r="AC99"/>
  <c r="AH99"/>
  <c r="T99"/>
  <c r="G99"/>
  <c r="D99"/>
  <c r="C99"/>
  <c r="B83"/>
  <c r="B98"/>
  <c r="P98"/>
  <c r="Q98"/>
  <c r="AQ98"/>
  <c r="L98"/>
  <c r="M98"/>
  <c r="X98"/>
  <c r="F83"/>
  <c r="F98"/>
  <c r="R98"/>
  <c r="S98"/>
  <c r="U98"/>
  <c r="Y98"/>
  <c r="Z98"/>
  <c r="E83"/>
  <c r="E98"/>
  <c r="W98"/>
  <c r="AA98"/>
  <c r="AB98"/>
  <c r="H98"/>
  <c r="AD98"/>
  <c r="AP98"/>
  <c r="AO98"/>
  <c r="AN98"/>
  <c r="AG98"/>
  <c r="AM98"/>
  <c r="I83"/>
  <c r="H83"/>
  <c r="T83"/>
  <c r="AK98"/>
  <c r="AE98"/>
  <c r="AJ98"/>
  <c r="I98"/>
  <c r="AI98"/>
  <c r="AC98"/>
  <c r="AH98"/>
  <c r="T98"/>
  <c r="G98"/>
  <c r="D98"/>
  <c r="C98"/>
  <c r="B82"/>
  <c r="B97"/>
  <c r="P97"/>
  <c r="Q97"/>
  <c r="AQ97"/>
  <c r="L97"/>
  <c r="M97"/>
  <c r="X97"/>
  <c r="F82"/>
  <c r="F97"/>
  <c r="R97"/>
  <c r="S97"/>
  <c r="U97"/>
  <c r="Y97"/>
  <c r="Z97"/>
  <c r="E82"/>
  <c r="E97"/>
  <c r="W97"/>
  <c r="AA97"/>
  <c r="AB97"/>
  <c r="H97"/>
  <c r="AD97"/>
  <c r="AP97"/>
  <c r="AO97"/>
  <c r="AN97"/>
  <c r="AG97"/>
  <c r="AM97"/>
  <c r="I82"/>
  <c r="H82"/>
  <c r="T82"/>
  <c r="AK97"/>
  <c r="AE97"/>
  <c r="AJ97"/>
  <c r="I97"/>
  <c r="AI97"/>
  <c r="AC97"/>
  <c r="AH97"/>
  <c r="T97"/>
  <c r="G97"/>
  <c r="D97"/>
  <c r="C97"/>
  <c r="B81"/>
  <c r="B96"/>
  <c r="P96"/>
  <c r="Q96"/>
  <c r="AQ96"/>
  <c r="L96"/>
  <c r="M96"/>
  <c r="X96"/>
  <c r="F81"/>
  <c r="F96"/>
  <c r="R96"/>
  <c r="S96"/>
  <c r="U96"/>
  <c r="Y96"/>
  <c r="Z96"/>
  <c r="E81"/>
  <c r="E96"/>
  <c r="W96"/>
  <c r="AA96"/>
  <c r="AB96"/>
  <c r="H96"/>
  <c r="AD96"/>
  <c r="AP96"/>
  <c r="AO96"/>
  <c r="AN96"/>
  <c r="AG96"/>
  <c r="AM96"/>
  <c r="I81"/>
  <c r="H81"/>
  <c r="T81"/>
  <c r="AK96"/>
  <c r="AE96"/>
  <c r="AJ96"/>
  <c r="I96"/>
  <c r="AI96"/>
  <c r="AC96"/>
  <c r="AH96"/>
  <c r="T96"/>
  <c r="G96"/>
  <c r="D96"/>
  <c r="C96"/>
  <c r="B80"/>
  <c r="B95"/>
  <c r="P95"/>
  <c r="Q95"/>
  <c r="AQ95"/>
  <c r="L95"/>
  <c r="M95"/>
  <c r="X95"/>
  <c r="F80"/>
  <c r="F95"/>
  <c r="R95"/>
  <c r="S95"/>
  <c r="U95"/>
  <c r="Y95"/>
  <c r="Z95"/>
  <c r="E80"/>
  <c r="E95"/>
  <c r="W95"/>
  <c r="AA95"/>
  <c r="AB95"/>
  <c r="H95"/>
  <c r="AD95"/>
  <c r="AP95"/>
  <c r="AO95"/>
  <c r="AN95"/>
  <c r="AG95"/>
  <c r="AM95"/>
  <c r="I80"/>
  <c r="H80"/>
  <c r="T80"/>
  <c r="AK95"/>
  <c r="AE95"/>
  <c r="AJ95"/>
  <c r="I95"/>
  <c r="AI95"/>
  <c r="AC95"/>
  <c r="AH95"/>
  <c r="T95"/>
  <c r="G95"/>
  <c r="D95"/>
  <c r="C95"/>
  <c r="AK79"/>
  <c r="AK94"/>
  <c r="AQ94"/>
  <c r="AP94"/>
  <c r="AO94"/>
  <c r="AN94"/>
  <c r="AG94"/>
  <c r="AM94"/>
  <c r="P85"/>
  <c r="P90"/>
  <c r="Q90"/>
  <c r="Q85"/>
  <c r="AQ90"/>
  <c r="C90"/>
  <c r="J90"/>
  <c r="C85"/>
  <c r="J85"/>
  <c r="AP90"/>
  <c r="AO90"/>
  <c r="K90"/>
  <c r="K85"/>
  <c r="AN90"/>
  <c r="AG90"/>
  <c r="AG85"/>
  <c r="AM90"/>
  <c r="AK90"/>
  <c r="O90"/>
  <c r="AJ90"/>
  <c r="N90"/>
  <c r="AI90"/>
  <c r="M90"/>
  <c r="AH90"/>
  <c r="S90"/>
  <c r="R90"/>
  <c r="G85"/>
  <c r="G90"/>
  <c r="P89"/>
  <c r="Q89"/>
  <c r="AQ89"/>
  <c r="C89"/>
  <c r="J89"/>
  <c r="AP89"/>
  <c r="AO89"/>
  <c r="K89"/>
  <c r="AN89"/>
  <c r="AG89"/>
  <c r="AM89"/>
  <c r="AK89"/>
  <c r="O89"/>
  <c r="AJ89"/>
  <c r="N89"/>
  <c r="AI89"/>
  <c r="M89"/>
  <c r="AH89"/>
  <c r="S89"/>
  <c r="R89"/>
  <c r="G89"/>
  <c r="P88"/>
  <c r="Q88"/>
  <c r="AQ88"/>
  <c r="C88"/>
  <c r="J88"/>
  <c r="AP88"/>
  <c r="AO88"/>
  <c r="K88"/>
  <c r="AN88"/>
  <c r="AG88"/>
  <c r="AM88"/>
  <c r="AK88"/>
  <c r="O88"/>
  <c r="AJ88"/>
  <c r="N88"/>
  <c r="AI88"/>
  <c r="M88"/>
  <c r="AH88"/>
  <c r="S88"/>
  <c r="R88"/>
  <c r="G88"/>
  <c r="P87"/>
  <c r="Q87"/>
  <c r="AQ87"/>
  <c r="C87"/>
  <c r="J87"/>
  <c r="AP87"/>
  <c r="AO87"/>
  <c r="K87"/>
  <c r="AN87"/>
  <c r="AG87"/>
  <c r="AM87"/>
  <c r="AK87"/>
  <c r="O87"/>
  <c r="AJ87"/>
  <c r="N87"/>
  <c r="AI87"/>
  <c r="M87"/>
  <c r="AH87"/>
  <c r="S87"/>
  <c r="R87"/>
  <c r="G87"/>
  <c r="P86"/>
  <c r="Q86"/>
  <c r="AQ86"/>
  <c r="C86"/>
  <c r="J86"/>
  <c r="AP86"/>
  <c r="AO86"/>
  <c r="K86"/>
  <c r="AN86"/>
  <c r="AG86"/>
  <c r="AM86"/>
  <c r="AK86"/>
  <c r="O86"/>
  <c r="AJ86"/>
  <c r="N86"/>
  <c r="AI86"/>
  <c r="M86"/>
  <c r="AH86"/>
  <c r="S86"/>
  <c r="R86"/>
  <c r="G86"/>
  <c r="AQ85"/>
  <c r="AP85"/>
  <c r="AO85"/>
  <c r="AN85"/>
  <c r="AM85"/>
  <c r="AK85"/>
  <c r="O85"/>
  <c r="AJ85"/>
  <c r="N85"/>
  <c r="AI85"/>
  <c r="M85"/>
  <c r="AH85"/>
  <c r="S85"/>
  <c r="R85"/>
  <c r="P84"/>
  <c r="Q84"/>
  <c r="AQ84"/>
  <c r="C84"/>
  <c r="J84"/>
  <c r="AP84"/>
  <c r="AO84"/>
  <c r="K84"/>
  <c r="AN84"/>
  <c r="AG84"/>
  <c r="AM84"/>
  <c r="AK84"/>
  <c r="O84"/>
  <c r="AJ84"/>
  <c r="N84"/>
  <c r="AI84"/>
  <c r="M84"/>
  <c r="AH84"/>
  <c r="S84"/>
  <c r="R84"/>
  <c r="G84"/>
  <c r="P83"/>
  <c r="Q83"/>
  <c r="AQ83"/>
  <c r="C83"/>
  <c r="J83"/>
  <c r="AP83"/>
  <c r="AO83"/>
  <c r="K83"/>
  <c r="AN83"/>
  <c r="AG83"/>
  <c r="AM83"/>
  <c r="AK83"/>
  <c r="O83"/>
  <c r="AJ83"/>
  <c r="N83"/>
  <c r="AI83"/>
  <c r="M83"/>
  <c r="AH83"/>
  <c r="S83"/>
  <c r="R83"/>
  <c r="G83"/>
  <c r="P82"/>
  <c r="Q82"/>
  <c r="AQ82"/>
  <c r="C82"/>
  <c r="J82"/>
  <c r="AP82"/>
  <c r="AO82"/>
  <c r="K82"/>
  <c r="AN82"/>
  <c r="AG82"/>
  <c r="AM82"/>
  <c r="AK82"/>
  <c r="O82"/>
  <c r="AJ82"/>
  <c r="N82"/>
  <c r="AI82"/>
  <c r="M82"/>
  <c r="AH82"/>
  <c r="S82"/>
  <c r="R82"/>
  <c r="G82"/>
  <c r="P81"/>
  <c r="Q81"/>
  <c r="AQ81"/>
  <c r="C81"/>
  <c r="J81"/>
  <c r="AP81"/>
  <c r="AO81"/>
  <c r="K81"/>
  <c r="AN81"/>
  <c r="AG81"/>
  <c r="AM81"/>
  <c r="AK81"/>
  <c r="O81"/>
  <c r="AJ81"/>
  <c r="N81"/>
  <c r="AI81"/>
  <c r="M81"/>
  <c r="AH81"/>
  <c r="S81"/>
  <c r="R81"/>
  <c r="G81"/>
  <c r="P80"/>
  <c r="Q80"/>
  <c r="AQ80"/>
  <c r="C80"/>
  <c r="J80"/>
  <c r="AP80"/>
  <c r="AO80"/>
  <c r="K80"/>
  <c r="AN80"/>
  <c r="AG80"/>
  <c r="AM80"/>
  <c r="AK80"/>
  <c r="O80"/>
  <c r="AJ80"/>
  <c r="N80"/>
  <c r="AI80"/>
  <c r="M80"/>
  <c r="AH80"/>
  <c r="S80"/>
  <c r="R80"/>
  <c r="G80"/>
  <c r="AQ79"/>
  <c r="AP79"/>
  <c r="AO79"/>
  <c r="AN79"/>
  <c r="AG79"/>
  <c r="AM79"/>
  <c r="AQ43"/>
  <c r="AP43"/>
  <c r="AO43"/>
  <c r="AN43"/>
  <c r="AG43"/>
  <c r="AM43"/>
  <c r="AK43"/>
  <c r="AJ43"/>
  <c r="AI43"/>
  <c r="AH43"/>
  <c r="T43"/>
  <c r="R43"/>
  <c r="AQ42"/>
  <c r="AP42"/>
  <c r="AO42"/>
  <c r="AN42"/>
  <c r="AG42"/>
  <c r="AM42"/>
  <c r="AK42"/>
  <c r="AJ42"/>
  <c r="AI42"/>
  <c r="AH42"/>
  <c r="T42"/>
  <c r="R42"/>
  <c r="AQ41"/>
  <c r="AP41"/>
  <c r="AO41"/>
  <c r="AN41"/>
  <c r="AG41"/>
  <c r="AM41"/>
  <c r="AK41"/>
  <c r="AJ41"/>
  <c r="AI41"/>
  <c r="AH41"/>
  <c r="T41"/>
  <c r="R41"/>
  <c r="AQ40"/>
  <c r="AP40"/>
  <c r="AO40"/>
  <c r="AN40"/>
  <c r="AG40"/>
  <c r="AM40"/>
  <c r="AK40"/>
  <c r="AJ40"/>
  <c r="AI40"/>
  <c r="AH40"/>
  <c r="T40"/>
  <c r="R40"/>
  <c r="AQ39"/>
  <c r="AP39"/>
  <c r="AO39"/>
  <c r="AN39"/>
  <c r="AG39"/>
  <c r="AM39"/>
  <c r="AK39"/>
  <c r="AJ39"/>
  <c r="AI39"/>
  <c r="AH39"/>
  <c r="T39"/>
  <c r="R39"/>
  <c r="AQ38"/>
  <c r="AP38"/>
  <c r="AO38"/>
  <c r="AN38"/>
  <c r="AM38"/>
  <c r="AK38"/>
  <c r="AJ38"/>
  <c r="AI38"/>
  <c r="AH38"/>
  <c r="T38"/>
  <c r="R38"/>
  <c r="AQ37"/>
  <c r="AP37"/>
  <c r="AO37"/>
  <c r="AN37"/>
  <c r="AG37"/>
  <c r="AM37"/>
  <c r="AK37"/>
  <c r="AJ37"/>
  <c r="AI37"/>
  <c r="AH37"/>
  <c r="T37"/>
  <c r="R37"/>
  <c r="AQ36"/>
  <c r="AP36"/>
  <c r="AO36"/>
  <c r="AN36"/>
  <c r="AG36"/>
  <c r="AM36"/>
  <c r="AK36"/>
  <c r="AJ36"/>
  <c r="AI36"/>
  <c r="AH36"/>
  <c r="T36"/>
  <c r="R36"/>
  <c r="AQ35"/>
  <c r="AP35"/>
  <c r="AO35"/>
  <c r="AN35"/>
  <c r="AG35"/>
  <c r="AM35"/>
  <c r="AK35"/>
  <c r="AJ35"/>
  <c r="AI35"/>
  <c r="AH35"/>
  <c r="T35"/>
  <c r="R35"/>
  <c r="AQ34"/>
  <c r="AP34"/>
  <c r="AO34"/>
  <c r="AN34"/>
  <c r="AG34"/>
  <c r="AM34"/>
  <c r="AK34"/>
  <c r="AJ34"/>
  <c r="AI34"/>
  <c r="AH34"/>
  <c r="T34"/>
  <c r="R34"/>
  <c r="AQ33"/>
  <c r="AP33"/>
  <c r="AO33"/>
  <c r="AN33"/>
  <c r="AG33"/>
  <c r="AM33"/>
  <c r="AK33"/>
  <c r="AJ33"/>
  <c r="AI33"/>
  <c r="AH33"/>
  <c r="T33"/>
  <c r="R33"/>
  <c r="AK32"/>
  <c r="AQ32"/>
  <c r="AP32"/>
  <c r="AO32"/>
  <c r="AN32"/>
  <c r="AG32"/>
  <c r="AM32"/>
  <c r="P21"/>
  <c r="S21"/>
  <c r="AH21"/>
  <c r="O21"/>
  <c r="R21"/>
  <c r="AG21"/>
  <c r="N21"/>
  <c r="Q21"/>
  <c r="AF21"/>
  <c r="M21"/>
  <c r="L21"/>
  <c r="K21"/>
  <c r="J21"/>
  <c r="P20"/>
  <c r="S20"/>
  <c r="AH20"/>
  <c r="O20"/>
  <c r="R20"/>
  <c r="AG20"/>
  <c r="N20"/>
  <c r="Q20"/>
  <c r="AF20"/>
  <c r="M20"/>
  <c r="L20"/>
  <c r="K20"/>
  <c r="J20"/>
  <c r="P19"/>
  <c r="S19"/>
  <c r="AH19"/>
  <c r="O19"/>
  <c r="R19"/>
  <c r="AG19"/>
  <c r="N19"/>
  <c r="Q19"/>
  <c r="AF19"/>
  <c r="M19"/>
  <c r="L19"/>
  <c r="K19"/>
  <c r="J19"/>
  <c r="P18"/>
  <c r="S18"/>
  <c r="AH18"/>
  <c r="O18"/>
  <c r="R18"/>
  <c r="AG18"/>
  <c r="N18"/>
  <c r="Q18"/>
  <c r="AF18"/>
  <c r="M18"/>
  <c r="L18"/>
  <c r="K18"/>
  <c r="J18"/>
  <c r="P17"/>
  <c r="S17"/>
  <c r="AH17"/>
  <c r="O17"/>
  <c r="R17"/>
  <c r="AG17"/>
  <c r="N17"/>
  <c r="Q17"/>
  <c r="AF17"/>
  <c r="M17"/>
  <c r="L17"/>
  <c r="K17"/>
  <c r="J17"/>
  <c r="P16"/>
  <c r="S16"/>
  <c r="AH16"/>
  <c r="O16"/>
  <c r="R16"/>
  <c r="AG16"/>
  <c r="N16"/>
  <c r="Q16"/>
  <c r="AF16"/>
  <c r="M16"/>
  <c r="L16"/>
  <c r="K16"/>
  <c r="J16"/>
  <c r="D12"/>
  <c r="C12"/>
  <c r="E12"/>
  <c r="E5"/>
  <c r="F5"/>
  <c r="G5"/>
  <c r="H5"/>
  <c r="F12"/>
  <c r="H12"/>
  <c r="G12"/>
  <c r="K5"/>
  <c r="J5"/>
  <c r="H217" i="1"/>
  <c r="AG217" s="1"/>
  <c r="AG232"/>
  <c r="AG233"/>
  <c r="H219"/>
  <c r="AG234" s="1"/>
  <c r="H220"/>
  <c r="AG220" s="1"/>
  <c r="H221"/>
  <c r="AG236" s="1"/>
  <c r="H223"/>
  <c r="AG238" s="1"/>
  <c r="R238"/>
  <c r="H222"/>
  <c r="AG237" s="1"/>
  <c r="R237"/>
  <c r="R236"/>
  <c r="R235"/>
  <c r="R234"/>
  <c r="H213"/>
  <c r="AG213" s="1"/>
  <c r="R228"/>
  <c r="H214"/>
  <c r="AG229" s="1"/>
  <c r="R229"/>
  <c r="H215"/>
  <c r="AG215" s="1"/>
  <c r="R230"/>
  <c r="H216"/>
  <c r="R231"/>
  <c r="R232"/>
  <c r="P238"/>
  <c r="P237"/>
  <c r="P236"/>
  <c r="P235"/>
  <c r="Q235" s="1"/>
  <c r="P234"/>
  <c r="P228"/>
  <c r="P229"/>
  <c r="P230"/>
  <c r="Q230" s="1"/>
  <c r="P231"/>
  <c r="P232"/>
  <c r="AK227"/>
  <c r="AG230"/>
  <c r="AG227"/>
  <c r="I218"/>
  <c r="P218" s="1"/>
  <c r="Q218" s="1"/>
  <c r="E214"/>
  <c r="E229" s="1"/>
  <c r="E215"/>
  <c r="E230" s="1"/>
  <c r="E216"/>
  <c r="E231" s="1"/>
  <c r="E217"/>
  <c r="E219"/>
  <c r="E220"/>
  <c r="E235" s="1"/>
  <c r="E221"/>
  <c r="E236" s="1"/>
  <c r="E222"/>
  <c r="E223"/>
  <c r="E213"/>
  <c r="E228" s="1"/>
  <c r="AK212"/>
  <c r="AG218"/>
  <c r="AG212"/>
  <c r="F223"/>
  <c r="F238" s="1"/>
  <c r="F222"/>
  <c r="F221"/>
  <c r="F236" s="1"/>
  <c r="F220"/>
  <c r="F235" s="1"/>
  <c r="C235"/>
  <c r="F219"/>
  <c r="F234" s="1"/>
  <c r="F233"/>
  <c r="D233"/>
  <c r="E233"/>
  <c r="G218"/>
  <c r="G233" s="1"/>
  <c r="F217"/>
  <c r="F232" s="1"/>
  <c r="F216"/>
  <c r="F215"/>
  <c r="C230"/>
  <c r="F214"/>
  <c r="F229"/>
  <c r="F213"/>
  <c r="F228" s="1"/>
  <c r="B198"/>
  <c r="C198" s="1"/>
  <c r="B203"/>
  <c r="Q203" s="1"/>
  <c r="B200"/>
  <c r="Q200" s="1"/>
  <c r="B202"/>
  <c r="B205"/>
  <c r="C205" s="1"/>
  <c r="R168"/>
  <c r="B168"/>
  <c r="C168" s="1"/>
  <c r="R169"/>
  <c r="R170"/>
  <c r="B170"/>
  <c r="C170" s="1"/>
  <c r="R171"/>
  <c r="R172"/>
  <c r="B172"/>
  <c r="C172" s="1"/>
  <c r="R174"/>
  <c r="R175"/>
  <c r="B175"/>
  <c r="C175" s="1"/>
  <c r="R176"/>
  <c r="R177"/>
  <c r="B177"/>
  <c r="C177" s="1"/>
  <c r="R178"/>
  <c r="B178"/>
  <c r="B138"/>
  <c r="Q138" s="1"/>
  <c r="B143"/>
  <c r="Q143" s="1"/>
  <c r="B140"/>
  <c r="Q140" s="1"/>
  <c r="B141"/>
  <c r="C141" s="1"/>
  <c r="B145"/>
  <c r="C145" s="1"/>
  <c r="B147"/>
  <c r="J128"/>
  <c r="B113"/>
  <c r="C113" s="1"/>
  <c r="R108"/>
  <c r="B108"/>
  <c r="R109"/>
  <c r="R110"/>
  <c r="R111"/>
  <c r="R112"/>
  <c r="B112"/>
  <c r="R114"/>
  <c r="R115"/>
  <c r="R116"/>
  <c r="R117"/>
  <c r="B117"/>
  <c r="R118"/>
  <c r="B83"/>
  <c r="Q83" s="1"/>
  <c r="AQ83" s="1"/>
  <c r="B80"/>
  <c r="C80" s="1"/>
  <c r="B85"/>
  <c r="C85" s="1"/>
  <c r="R78"/>
  <c r="R79"/>
  <c r="R80"/>
  <c r="R81"/>
  <c r="R82"/>
  <c r="R84"/>
  <c r="R85"/>
  <c r="R86"/>
  <c r="R87"/>
  <c r="R88"/>
  <c r="J68"/>
  <c r="AP68"/>
  <c r="AP197"/>
  <c r="AO197"/>
  <c r="AN197"/>
  <c r="AP182"/>
  <c r="AO182"/>
  <c r="AN182"/>
  <c r="AP167"/>
  <c r="AO167"/>
  <c r="AN167"/>
  <c r="AP152"/>
  <c r="AO152"/>
  <c r="AN152"/>
  <c r="AP137"/>
  <c r="AO137"/>
  <c r="AN137"/>
  <c r="AP122"/>
  <c r="AO122"/>
  <c r="AN122"/>
  <c r="AP107"/>
  <c r="AO107"/>
  <c r="AN107"/>
  <c r="AP92"/>
  <c r="AO92"/>
  <c r="AN92"/>
  <c r="AP77"/>
  <c r="AO77"/>
  <c r="AN77"/>
  <c r="AP62"/>
  <c r="AO62"/>
  <c r="AN62"/>
  <c r="I68"/>
  <c r="I65" s="1"/>
  <c r="H68"/>
  <c r="D83" s="1"/>
  <c r="AG68"/>
  <c r="AM68" s="1"/>
  <c r="F83"/>
  <c r="AG83" s="1"/>
  <c r="AM83" s="1"/>
  <c r="E83"/>
  <c r="H188"/>
  <c r="H184" s="1"/>
  <c r="F63"/>
  <c r="F78" s="1"/>
  <c r="AG78" s="1"/>
  <c r="E63"/>
  <c r="F64"/>
  <c r="E64"/>
  <c r="E79" s="1"/>
  <c r="F65"/>
  <c r="F80" s="1"/>
  <c r="AG80" s="1"/>
  <c r="E65"/>
  <c r="F66"/>
  <c r="E66"/>
  <c r="E81" s="1"/>
  <c r="F67"/>
  <c r="F82" s="1"/>
  <c r="AG82" s="1"/>
  <c r="E67"/>
  <c r="F69"/>
  <c r="E69"/>
  <c r="F70"/>
  <c r="E70"/>
  <c r="E85" s="1"/>
  <c r="F71"/>
  <c r="F86" s="1"/>
  <c r="AG86" s="1"/>
  <c r="E71"/>
  <c r="F72"/>
  <c r="E72"/>
  <c r="E87" s="1"/>
  <c r="F73"/>
  <c r="F88" s="1"/>
  <c r="AG88" s="1"/>
  <c r="E73"/>
  <c r="E33"/>
  <c r="E48" s="1"/>
  <c r="C38"/>
  <c r="J38" s="1"/>
  <c r="C34"/>
  <c r="E34"/>
  <c r="E35"/>
  <c r="E50" s="1"/>
  <c r="E36"/>
  <c r="E51" s="1"/>
  <c r="C37"/>
  <c r="E37"/>
  <c r="E43"/>
  <c r="E58" s="1"/>
  <c r="E39"/>
  <c r="E54" s="1"/>
  <c r="E40"/>
  <c r="E55" s="1"/>
  <c r="E41"/>
  <c r="E56" s="1"/>
  <c r="E42"/>
  <c r="E57" s="1"/>
  <c r="E123"/>
  <c r="E124"/>
  <c r="E125"/>
  <c r="J125" s="1"/>
  <c r="E126"/>
  <c r="E127"/>
  <c r="E142" s="1"/>
  <c r="E129"/>
  <c r="E144" s="1"/>
  <c r="E130"/>
  <c r="E131"/>
  <c r="E132"/>
  <c r="E133"/>
  <c r="E148" s="1"/>
  <c r="G128"/>
  <c r="G133" s="1"/>
  <c r="G68"/>
  <c r="G73" s="1"/>
  <c r="AK62"/>
  <c r="AQ62" s="1"/>
  <c r="AG62"/>
  <c r="AM62" s="1"/>
  <c r="P88"/>
  <c r="P87"/>
  <c r="P86"/>
  <c r="P85"/>
  <c r="P84"/>
  <c r="P82"/>
  <c r="P81"/>
  <c r="P80"/>
  <c r="P79"/>
  <c r="I98"/>
  <c r="D93"/>
  <c r="D108" s="1"/>
  <c r="F93"/>
  <c r="AG93" s="1"/>
  <c r="E93"/>
  <c r="V93" s="1"/>
  <c r="D94"/>
  <c r="D109" s="1"/>
  <c r="F94"/>
  <c r="AG94" s="1"/>
  <c r="E94"/>
  <c r="D95"/>
  <c r="D110" s="1"/>
  <c r="F95"/>
  <c r="AG95" s="1"/>
  <c r="E95"/>
  <c r="V95" s="1"/>
  <c r="D96"/>
  <c r="F96"/>
  <c r="AG96" s="1"/>
  <c r="E96"/>
  <c r="V96" s="1"/>
  <c r="D97"/>
  <c r="F97"/>
  <c r="F112" s="1"/>
  <c r="AG112" s="1"/>
  <c r="E97"/>
  <c r="V97" s="1"/>
  <c r="D99"/>
  <c r="D114" s="1"/>
  <c r="F99"/>
  <c r="AG99" s="1"/>
  <c r="E99"/>
  <c r="D100"/>
  <c r="D115" s="1"/>
  <c r="F100"/>
  <c r="AG100" s="1"/>
  <c r="E100"/>
  <c r="V100" s="1"/>
  <c r="D101"/>
  <c r="D116" s="1"/>
  <c r="F101"/>
  <c r="F116" s="1"/>
  <c r="E101"/>
  <c r="D102"/>
  <c r="D117" s="1"/>
  <c r="F102"/>
  <c r="F117" s="1"/>
  <c r="AG117" s="1"/>
  <c r="E102"/>
  <c r="AK92"/>
  <c r="AQ92" s="1"/>
  <c r="AP47"/>
  <c r="AO47"/>
  <c r="AN47"/>
  <c r="AK197"/>
  <c r="AQ197" s="1"/>
  <c r="AK182"/>
  <c r="AQ182" s="1"/>
  <c r="AG203"/>
  <c r="AM203" s="1"/>
  <c r="AG197"/>
  <c r="AM197" s="1"/>
  <c r="AG188"/>
  <c r="AM188" s="1"/>
  <c r="AG182"/>
  <c r="AM182" s="1"/>
  <c r="AG173"/>
  <c r="AM173" s="1"/>
  <c r="AG167"/>
  <c r="AM167" s="1"/>
  <c r="AG158"/>
  <c r="AM158" s="1"/>
  <c r="AG152"/>
  <c r="AM152" s="1"/>
  <c r="AK167"/>
  <c r="AQ167" s="1"/>
  <c r="AK152"/>
  <c r="AQ152" s="1"/>
  <c r="AK47"/>
  <c r="AQ47" s="1"/>
  <c r="AK122"/>
  <c r="AK137" s="1"/>
  <c r="AQ137" s="1"/>
  <c r="AG137"/>
  <c r="AM137" s="1"/>
  <c r="AG128"/>
  <c r="AM128" s="1"/>
  <c r="AG122"/>
  <c r="AM122" s="1"/>
  <c r="AG107"/>
  <c r="AM107" s="1"/>
  <c r="AK107"/>
  <c r="AQ107" s="1"/>
  <c r="AG98"/>
  <c r="AM98" s="1"/>
  <c r="AG92"/>
  <c r="AM92" s="1"/>
  <c r="AG77"/>
  <c r="AM77" s="1"/>
  <c r="AG38"/>
  <c r="AM38" s="1"/>
  <c r="AG32"/>
  <c r="AM32" s="1"/>
  <c r="AK32"/>
  <c r="AQ32" s="1"/>
  <c r="AO32"/>
  <c r="AP32"/>
  <c r="AN32"/>
  <c r="AG47"/>
  <c r="AM47" s="1"/>
  <c r="F133"/>
  <c r="AG133" s="1"/>
  <c r="F132"/>
  <c r="F147" s="1"/>
  <c r="E147"/>
  <c r="F131"/>
  <c r="AG131" s="1"/>
  <c r="F130"/>
  <c r="AG130" s="1"/>
  <c r="F129"/>
  <c r="AG129" s="1"/>
  <c r="F127"/>
  <c r="F142" s="1"/>
  <c r="F126"/>
  <c r="AG126" s="1"/>
  <c r="F125"/>
  <c r="AG125" s="1"/>
  <c r="F124"/>
  <c r="AG124" s="1"/>
  <c r="F123"/>
  <c r="F138" s="1"/>
  <c r="AG138" s="1"/>
  <c r="F193"/>
  <c r="F208" s="1"/>
  <c r="E193"/>
  <c r="AG208" s="1"/>
  <c r="F192"/>
  <c r="F207" s="1"/>
  <c r="E192"/>
  <c r="F191"/>
  <c r="F206" s="1"/>
  <c r="E191"/>
  <c r="F190"/>
  <c r="F205" s="1"/>
  <c r="E190"/>
  <c r="AG205" s="1"/>
  <c r="F189"/>
  <c r="F204" s="1"/>
  <c r="E189"/>
  <c r="E204" s="1"/>
  <c r="F187"/>
  <c r="F202" s="1"/>
  <c r="E187"/>
  <c r="AG187" s="1"/>
  <c r="F186"/>
  <c r="F201" s="1"/>
  <c r="E186"/>
  <c r="F185"/>
  <c r="E185"/>
  <c r="J185" s="1"/>
  <c r="O185" s="1"/>
  <c r="AJ185" s="1"/>
  <c r="F184"/>
  <c r="F199" s="1"/>
  <c r="E184"/>
  <c r="F183"/>
  <c r="F198" s="1"/>
  <c r="E183"/>
  <c r="AG183" s="1"/>
  <c r="D153"/>
  <c r="D168" s="1"/>
  <c r="D154"/>
  <c r="D169" s="1"/>
  <c r="D155"/>
  <c r="T155" s="1"/>
  <c r="D156"/>
  <c r="T156" s="1"/>
  <c r="D157"/>
  <c r="D172" s="1"/>
  <c r="D159"/>
  <c r="D174" s="1"/>
  <c r="D160"/>
  <c r="T160" s="1"/>
  <c r="D161"/>
  <c r="D176" s="1"/>
  <c r="D162"/>
  <c r="D177" s="1"/>
  <c r="D163"/>
  <c r="T163" s="1"/>
  <c r="F163"/>
  <c r="E163"/>
  <c r="AG178" s="1"/>
  <c r="AM178" s="1"/>
  <c r="F162"/>
  <c r="E162"/>
  <c r="E177" s="1"/>
  <c r="F161"/>
  <c r="F176" s="1"/>
  <c r="E161"/>
  <c r="AG176" s="1"/>
  <c r="AM176" s="1"/>
  <c r="F160"/>
  <c r="F175" s="1"/>
  <c r="E160"/>
  <c r="AG175" s="1"/>
  <c r="AM175" s="1"/>
  <c r="F159"/>
  <c r="F174" s="1"/>
  <c r="E159"/>
  <c r="F157"/>
  <c r="F172" s="1"/>
  <c r="E157"/>
  <c r="AG157" s="1"/>
  <c r="F156"/>
  <c r="E156"/>
  <c r="AG156" s="1"/>
  <c r="F155"/>
  <c r="F170" s="1"/>
  <c r="E155"/>
  <c r="F154"/>
  <c r="E154"/>
  <c r="AG169" s="1"/>
  <c r="AM169" s="1"/>
  <c r="F153"/>
  <c r="E153"/>
  <c r="AG168" s="1"/>
  <c r="AM168" s="1"/>
  <c r="D103"/>
  <c r="D118" s="1"/>
  <c r="F118"/>
  <c r="AG118" s="1"/>
  <c r="D33"/>
  <c r="D34"/>
  <c r="D49" s="1"/>
  <c r="D35"/>
  <c r="D50" s="1"/>
  <c r="D36"/>
  <c r="D51" s="1"/>
  <c r="D37"/>
  <c r="D52" s="1"/>
  <c r="D39"/>
  <c r="D54" s="1"/>
  <c r="D40"/>
  <c r="D55" s="1"/>
  <c r="D41"/>
  <c r="D56" s="1"/>
  <c r="D42"/>
  <c r="D57" s="1"/>
  <c r="D43"/>
  <c r="D58" s="1"/>
  <c r="F41"/>
  <c r="F56" s="1"/>
  <c r="AG56" s="1"/>
  <c r="F36"/>
  <c r="AG36" s="1"/>
  <c r="F203"/>
  <c r="E203"/>
  <c r="D173"/>
  <c r="E173"/>
  <c r="F173"/>
  <c r="D143"/>
  <c r="E143"/>
  <c r="F143"/>
  <c r="D113"/>
  <c r="E113"/>
  <c r="F113"/>
  <c r="D53"/>
  <c r="E53"/>
  <c r="F53"/>
  <c r="AG53" s="1"/>
  <c r="AM53" s="1"/>
  <c r="B53"/>
  <c r="C53" s="1"/>
  <c r="F43"/>
  <c r="F58" s="1"/>
  <c r="AG58" s="1"/>
  <c r="F42"/>
  <c r="F40"/>
  <c r="AG40" s="1"/>
  <c r="F39"/>
  <c r="AG39" s="1"/>
  <c r="F35"/>
  <c r="AG35" s="1"/>
  <c r="F34"/>
  <c r="AG34" s="1"/>
  <c r="F33"/>
  <c r="F48" s="1"/>
  <c r="F37"/>
  <c r="AG37" s="1"/>
  <c r="P178"/>
  <c r="P177"/>
  <c r="P176"/>
  <c r="P175"/>
  <c r="P174"/>
  <c r="P168"/>
  <c r="P169"/>
  <c r="P170"/>
  <c r="P171"/>
  <c r="P172"/>
  <c r="T158"/>
  <c r="T98"/>
  <c r="T38"/>
  <c r="H128"/>
  <c r="L188"/>
  <c r="I158"/>
  <c r="N158" s="1"/>
  <c r="AI158" s="1"/>
  <c r="G158"/>
  <c r="G173" s="1"/>
  <c r="AG184"/>
  <c r="F148"/>
  <c r="AG148" s="1"/>
  <c r="AG207"/>
  <c r="AG177"/>
  <c r="AM177" s="1"/>
  <c r="AG97"/>
  <c r="AG103"/>
  <c r="H21"/>
  <c r="F49"/>
  <c r="AG49" s="1"/>
  <c r="H125"/>
  <c r="H130"/>
  <c r="E172"/>
  <c r="D203"/>
  <c r="T188"/>
  <c r="AK188" s="1"/>
  <c r="P112"/>
  <c r="P111"/>
  <c r="P110"/>
  <c r="P109"/>
  <c r="P108"/>
  <c r="P115"/>
  <c r="P116"/>
  <c r="P117"/>
  <c r="P118"/>
  <c r="P114"/>
  <c r="P78"/>
  <c r="R52"/>
  <c r="P52"/>
  <c r="R51"/>
  <c r="P51"/>
  <c r="R50"/>
  <c r="P50"/>
  <c r="R49"/>
  <c r="P49"/>
  <c r="R48"/>
  <c r="P48"/>
  <c r="C138"/>
  <c r="G38"/>
  <c r="G98"/>
  <c r="R55"/>
  <c r="R56"/>
  <c r="R57"/>
  <c r="R58"/>
  <c r="R54"/>
  <c r="P55"/>
  <c r="P56"/>
  <c r="P57"/>
  <c r="P58"/>
  <c r="P54"/>
  <c r="I38"/>
  <c r="P38" s="1"/>
  <c r="C12"/>
  <c r="D12"/>
  <c r="F5"/>
  <c r="E5"/>
  <c r="K5" s="1"/>
  <c r="B54"/>
  <c r="C54" s="1"/>
  <c r="G41"/>
  <c r="T128"/>
  <c r="AK128" s="1"/>
  <c r="AK143" s="1"/>
  <c r="AG204" l="1"/>
  <c r="I73"/>
  <c r="AO73" s="1"/>
  <c r="B50"/>
  <c r="C50" s="1"/>
  <c r="F111"/>
  <c r="AG111" s="1"/>
  <c r="D178"/>
  <c r="AG172"/>
  <c r="AM172" s="1"/>
  <c r="D289"/>
  <c r="D292"/>
  <c r="D288"/>
  <c r="D295"/>
  <c r="D297"/>
  <c r="D296"/>
  <c r="D290"/>
  <c r="D294"/>
  <c r="D298"/>
  <c r="P278"/>
  <c r="Q278" s="1"/>
  <c r="N278"/>
  <c r="P246"/>
  <c r="L293"/>
  <c r="M293" s="1"/>
  <c r="F139"/>
  <c r="AM204"/>
  <c r="J24"/>
  <c r="B51"/>
  <c r="C51" s="1"/>
  <c r="F51"/>
  <c r="AG51" s="1"/>
  <c r="G161"/>
  <c r="G176" s="1"/>
  <c r="Q202"/>
  <c r="AG221"/>
  <c r="G33"/>
  <c r="T34"/>
  <c r="AM207"/>
  <c r="G143"/>
  <c r="I156"/>
  <c r="N156" s="1"/>
  <c r="AI156" s="1"/>
  <c r="AM187"/>
  <c r="AM205"/>
  <c r="B199"/>
  <c r="Q199" s="1"/>
  <c r="B58"/>
  <c r="C58" s="1"/>
  <c r="H16"/>
  <c r="C200"/>
  <c r="AM97"/>
  <c r="J159"/>
  <c r="AO159" s="1"/>
  <c r="AM126"/>
  <c r="AM99"/>
  <c r="H124"/>
  <c r="G37"/>
  <c r="I70"/>
  <c r="AO70" s="1"/>
  <c r="B81"/>
  <c r="C81" s="1"/>
  <c r="B174"/>
  <c r="Q205"/>
  <c r="AQ205" s="1"/>
  <c r="Q262"/>
  <c r="C273"/>
  <c r="AG123"/>
  <c r="AM123" s="1"/>
  <c r="J186"/>
  <c r="O186" s="1"/>
  <c r="AJ186" s="1"/>
  <c r="J191"/>
  <c r="AM125"/>
  <c r="AM130"/>
  <c r="Q80"/>
  <c r="AQ80" s="1"/>
  <c r="B146"/>
  <c r="B169"/>
  <c r="C169" s="1"/>
  <c r="B206"/>
  <c r="Q206" s="1"/>
  <c r="S206" s="1"/>
  <c r="W206" s="1"/>
  <c r="B201"/>
  <c r="C275"/>
  <c r="AK291"/>
  <c r="E12"/>
  <c r="AG127"/>
  <c r="AM127" s="1"/>
  <c r="AM184"/>
  <c r="AM124"/>
  <c r="AM129"/>
  <c r="J131"/>
  <c r="J126"/>
  <c r="B86"/>
  <c r="C86" s="1"/>
  <c r="Q147"/>
  <c r="S202"/>
  <c r="T202" s="1"/>
  <c r="G215"/>
  <c r="G230" s="1"/>
  <c r="B236"/>
  <c r="C236" s="1"/>
  <c r="G40"/>
  <c r="T42"/>
  <c r="F289"/>
  <c r="T40"/>
  <c r="T157"/>
  <c r="D171"/>
  <c r="AG189"/>
  <c r="AM189" s="1"/>
  <c r="AG161"/>
  <c r="AG153"/>
  <c r="AM153" s="1"/>
  <c r="T162"/>
  <c r="AG33"/>
  <c r="AM33" s="1"/>
  <c r="AM39"/>
  <c r="E52"/>
  <c r="G52" s="1"/>
  <c r="AM156"/>
  <c r="E176"/>
  <c r="H176" s="1"/>
  <c r="G162"/>
  <c r="G177" s="1"/>
  <c r="L184"/>
  <c r="AG219"/>
  <c r="AG267"/>
  <c r="B231"/>
  <c r="C231" s="1"/>
  <c r="C249"/>
  <c r="J249" s="1"/>
  <c r="B261"/>
  <c r="Q261" s="1"/>
  <c r="AG280"/>
  <c r="H19"/>
  <c r="F141"/>
  <c r="G203"/>
  <c r="G56"/>
  <c r="AG222"/>
  <c r="Q263"/>
  <c r="AG48"/>
  <c r="G48"/>
  <c r="O158"/>
  <c r="AJ158" s="1"/>
  <c r="AO158"/>
  <c r="I128"/>
  <c r="I40"/>
  <c r="N40" s="1"/>
  <c r="AI40" s="1"/>
  <c r="B56"/>
  <c r="Q56" s="1"/>
  <c r="S56" s="1"/>
  <c r="T39"/>
  <c r="J16" s="1"/>
  <c r="I36"/>
  <c r="N36" s="1"/>
  <c r="AI36" s="1"/>
  <c r="T95"/>
  <c r="Q49"/>
  <c r="H203"/>
  <c r="L203" s="1"/>
  <c r="M203" s="1"/>
  <c r="T159"/>
  <c r="J20" s="1"/>
  <c r="F55"/>
  <c r="AG55" s="1"/>
  <c r="AM55" s="1"/>
  <c r="L189"/>
  <c r="AG202"/>
  <c r="AG201"/>
  <c r="AG186"/>
  <c r="AM186" s="1"/>
  <c r="AM37"/>
  <c r="AM35"/>
  <c r="E146"/>
  <c r="E202"/>
  <c r="G202" s="1"/>
  <c r="AM208"/>
  <c r="G131"/>
  <c r="I131" s="1"/>
  <c r="N131" s="1"/>
  <c r="I34"/>
  <c r="AO34" s="1"/>
  <c r="H192"/>
  <c r="I192" s="1"/>
  <c r="G192" s="1"/>
  <c r="B176"/>
  <c r="C176" s="1"/>
  <c r="B171"/>
  <c r="C171" s="1"/>
  <c r="B208"/>
  <c r="Q208" s="1"/>
  <c r="S208" s="1"/>
  <c r="B204"/>
  <c r="Q204" s="1"/>
  <c r="Q55"/>
  <c r="S55" s="1"/>
  <c r="T55" s="1"/>
  <c r="C247"/>
  <c r="J247" s="1"/>
  <c r="AK274"/>
  <c r="C277"/>
  <c r="AK278"/>
  <c r="Q288"/>
  <c r="S288" s="1"/>
  <c r="T288" s="1"/>
  <c r="AK296"/>
  <c r="G125"/>
  <c r="I246"/>
  <c r="AI246" s="1"/>
  <c r="Q53"/>
  <c r="S53" s="1"/>
  <c r="U53" s="1"/>
  <c r="U57" s="1"/>
  <c r="G21"/>
  <c r="C206"/>
  <c r="O126"/>
  <c r="AJ126" s="1"/>
  <c r="F144"/>
  <c r="G144" s="1"/>
  <c r="G42"/>
  <c r="H53"/>
  <c r="I53" s="1"/>
  <c r="AI53" s="1"/>
  <c r="H143"/>
  <c r="AO143" s="1"/>
  <c r="H173"/>
  <c r="K173" s="1"/>
  <c r="AI173" s="1"/>
  <c r="AM36"/>
  <c r="I33"/>
  <c r="P33" s="1"/>
  <c r="Q33" s="1"/>
  <c r="G204"/>
  <c r="Q81"/>
  <c r="S81" s="1"/>
  <c r="G130"/>
  <c r="I130" s="1"/>
  <c r="G148"/>
  <c r="S147"/>
  <c r="W147" s="1"/>
  <c r="S200"/>
  <c r="T200" s="1"/>
  <c r="AJ278"/>
  <c r="F296"/>
  <c r="H126"/>
  <c r="AM34"/>
  <c r="AM157"/>
  <c r="C199"/>
  <c r="AM40"/>
  <c r="O159"/>
  <c r="P20" s="1"/>
  <c r="E141"/>
  <c r="G124"/>
  <c r="I124" s="1"/>
  <c r="N124" s="1"/>
  <c r="Q145"/>
  <c r="S145" s="1"/>
  <c r="T145" s="1"/>
  <c r="S205"/>
  <c r="T205" s="1"/>
  <c r="D262"/>
  <c r="C252"/>
  <c r="J252" s="1"/>
  <c r="O252" s="1"/>
  <c r="AJ252" s="1"/>
  <c r="AG275"/>
  <c r="AP188"/>
  <c r="O188"/>
  <c r="AJ188" s="1"/>
  <c r="O191"/>
  <c r="AJ191" s="1"/>
  <c r="I42"/>
  <c r="P42" s="1"/>
  <c r="Q42" s="1"/>
  <c r="I37"/>
  <c r="P37" s="1"/>
  <c r="Q37" s="1"/>
  <c r="T33"/>
  <c r="C147"/>
  <c r="H133"/>
  <c r="I161"/>
  <c r="N161" s="1"/>
  <c r="AI161" s="1"/>
  <c r="H132"/>
  <c r="F52"/>
  <c r="AG154"/>
  <c r="AM154" s="1"/>
  <c r="AG200"/>
  <c r="I154"/>
  <c r="N154" s="1"/>
  <c r="AI154" s="1"/>
  <c r="L185"/>
  <c r="J132"/>
  <c r="J127"/>
  <c r="AP127" s="1"/>
  <c r="J41"/>
  <c r="O41" s="1"/>
  <c r="AJ41" s="1"/>
  <c r="G58"/>
  <c r="G51"/>
  <c r="J70"/>
  <c r="O70" s="1"/>
  <c r="AJ70" s="1"/>
  <c r="B82"/>
  <c r="C82" s="1"/>
  <c r="B78"/>
  <c r="C78" s="1"/>
  <c r="O125"/>
  <c r="AJ125" s="1"/>
  <c r="S140"/>
  <c r="T140" s="1"/>
  <c r="B207"/>
  <c r="J36"/>
  <c r="K36" s="1"/>
  <c r="D291"/>
  <c r="H293"/>
  <c r="AG298"/>
  <c r="J71"/>
  <c r="O71" s="1"/>
  <c r="AJ71" s="1"/>
  <c r="T43"/>
  <c r="G35"/>
  <c r="Q50"/>
  <c r="S50" s="1"/>
  <c r="T50" s="1"/>
  <c r="L190"/>
  <c r="C202"/>
  <c r="I157"/>
  <c r="N157" s="1"/>
  <c r="AI157" s="1"/>
  <c r="D48"/>
  <c r="H48" s="1"/>
  <c r="E169"/>
  <c r="J160"/>
  <c r="O160" s="1"/>
  <c r="AJ160" s="1"/>
  <c r="G163"/>
  <c r="G178" s="1"/>
  <c r="T161"/>
  <c r="E200"/>
  <c r="J192"/>
  <c r="O192" s="1"/>
  <c r="AJ192" s="1"/>
  <c r="Q85"/>
  <c r="S85" s="1"/>
  <c r="W85" s="1"/>
  <c r="C40"/>
  <c r="I63"/>
  <c r="AO63" s="1"/>
  <c r="B110"/>
  <c r="Q110" s="1"/>
  <c r="S110" s="1"/>
  <c r="W110" s="1"/>
  <c r="Q141"/>
  <c r="S141" s="1"/>
  <c r="U141" s="1"/>
  <c r="AG214"/>
  <c r="J222"/>
  <c r="O222" s="1"/>
  <c r="AJ222" s="1"/>
  <c r="G217"/>
  <c r="G232" s="1"/>
  <c r="P247"/>
  <c r="F247" s="1"/>
  <c r="AG245"/>
  <c r="C253"/>
  <c r="J253" s="1"/>
  <c r="B266"/>
  <c r="Q266" s="1"/>
  <c r="S266" s="1"/>
  <c r="T266" s="1"/>
  <c r="C276"/>
  <c r="F288"/>
  <c r="AG289"/>
  <c r="Q291"/>
  <c r="S291" s="1"/>
  <c r="F54"/>
  <c r="G54" s="1"/>
  <c r="AG185"/>
  <c r="AM185" s="1"/>
  <c r="Q172"/>
  <c r="S172" s="1"/>
  <c r="T172" s="1"/>
  <c r="Q168"/>
  <c r="S168" s="1"/>
  <c r="T168" s="1"/>
  <c r="Q177"/>
  <c r="S177" s="1"/>
  <c r="T177" s="1"/>
  <c r="J53"/>
  <c r="AG41"/>
  <c r="AM41" s="1"/>
  <c r="G153"/>
  <c r="G168" s="1"/>
  <c r="J155"/>
  <c r="O155" s="1"/>
  <c r="AJ155" s="1"/>
  <c r="G156"/>
  <c r="G171" s="1"/>
  <c r="I162"/>
  <c r="N162" s="1"/>
  <c r="AI162" s="1"/>
  <c r="D170"/>
  <c r="E201"/>
  <c r="G201" s="1"/>
  <c r="J187"/>
  <c r="O187" s="1"/>
  <c r="AJ187" s="1"/>
  <c r="E140"/>
  <c r="AM131"/>
  <c r="I125"/>
  <c r="I133"/>
  <c r="H123"/>
  <c r="J67"/>
  <c r="AG73"/>
  <c r="AM73" s="1"/>
  <c r="AG65"/>
  <c r="AM65" s="1"/>
  <c r="B87"/>
  <c r="C87" s="1"/>
  <c r="B142"/>
  <c r="C143"/>
  <c r="Q178"/>
  <c r="S178" s="1"/>
  <c r="T178" s="1"/>
  <c r="Q174"/>
  <c r="S174" s="1"/>
  <c r="T174" s="1"/>
  <c r="S199"/>
  <c r="T199" s="1"/>
  <c r="G223"/>
  <c r="G238" s="1"/>
  <c r="G219"/>
  <c r="G234" s="1"/>
  <c r="C261"/>
  <c r="AG262"/>
  <c r="J23"/>
  <c r="B232"/>
  <c r="C232" s="1"/>
  <c r="AG288"/>
  <c r="Q294"/>
  <c r="S294" s="1"/>
  <c r="T294" s="1"/>
  <c r="T208"/>
  <c r="AK292"/>
  <c r="AK277"/>
  <c r="AK288"/>
  <c r="AK273"/>
  <c r="AJ159"/>
  <c r="W140"/>
  <c r="W205"/>
  <c r="N34"/>
  <c r="AI34" s="1"/>
  <c r="AM56"/>
  <c r="AM80"/>
  <c r="AO53"/>
  <c r="W202"/>
  <c r="W199"/>
  <c r="Q295"/>
  <c r="C295"/>
  <c r="AO38"/>
  <c r="P244"/>
  <c r="G5"/>
  <c r="J5" s="1"/>
  <c r="I41"/>
  <c r="G39"/>
  <c r="G53"/>
  <c r="I163"/>
  <c r="N163" s="1"/>
  <c r="AI163" s="1"/>
  <c r="I159"/>
  <c r="N159" s="1"/>
  <c r="L187"/>
  <c r="F169"/>
  <c r="F171"/>
  <c r="AM48"/>
  <c r="AG193"/>
  <c r="AM193" s="1"/>
  <c r="AG159"/>
  <c r="AM159" s="1"/>
  <c r="H20"/>
  <c r="E205"/>
  <c r="G205" s="1"/>
  <c r="C174"/>
  <c r="Q171"/>
  <c r="S171" s="1"/>
  <c r="E206"/>
  <c r="G206" s="1"/>
  <c r="E49"/>
  <c r="J157"/>
  <c r="O157" s="1"/>
  <c r="AJ157" s="1"/>
  <c r="J162"/>
  <c r="O162" s="1"/>
  <c r="AJ162" s="1"/>
  <c r="G65"/>
  <c r="G127"/>
  <c r="I127" s="1"/>
  <c r="G123"/>
  <c r="I123" s="1"/>
  <c r="G132"/>
  <c r="I132" s="1"/>
  <c r="J133"/>
  <c r="J43"/>
  <c r="AP43" s="1"/>
  <c r="J34"/>
  <c r="AP34" s="1"/>
  <c r="AM86"/>
  <c r="H190"/>
  <c r="I190" s="1"/>
  <c r="G190" s="1"/>
  <c r="T68"/>
  <c r="B116"/>
  <c r="Q116" s="1"/>
  <c r="S116" s="1"/>
  <c r="W116" s="1"/>
  <c r="E232"/>
  <c r="AG223"/>
  <c r="G221"/>
  <c r="G236" s="1"/>
  <c r="AG261"/>
  <c r="AG264"/>
  <c r="D267"/>
  <c r="AG268"/>
  <c r="B229"/>
  <c r="C229" s="1"/>
  <c r="C64"/>
  <c r="J64" s="1"/>
  <c r="C223"/>
  <c r="Q258"/>
  <c r="S258" s="1"/>
  <c r="T258" s="1"/>
  <c r="K278"/>
  <c r="M278" s="1"/>
  <c r="AG279"/>
  <c r="C280"/>
  <c r="AG292"/>
  <c r="I293"/>
  <c r="C294"/>
  <c r="I263"/>
  <c r="G142"/>
  <c r="J73"/>
  <c r="O73" s="1"/>
  <c r="AJ73" s="1"/>
  <c r="P243"/>
  <c r="L261"/>
  <c r="L263"/>
  <c r="M263" s="1"/>
  <c r="N38"/>
  <c r="AI38" s="1"/>
  <c r="I39"/>
  <c r="P39" s="1"/>
  <c r="Q39" s="1"/>
  <c r="G43"/>
  <c r="C56"/>
  <c r="T41"/>
  <c r="C140"/>
  <c r="G36"/>
  <c r="D131"/>
  <c r="P131" s="1"/>
  <c r="G159"/>
  <c r="G174" s="1"/>
  <c r="H131"/>
  <c r="G16"/>
  <c r="G160"/>
  <c r="G175" s="1"/>
  <c r="O127"/>
  <c r="AJ127" s="1"/>
  <c r="AM49"/>
  <c r="L186"/>
  <c r="AG198"/>
  <c r="AM198" s="1"/>
  <c r="AG174"/>
  <c r="AM174" s="1"/>
  <c r="AG170"/>
  <c r="AM170" s="1"/>
  <c r="O128"/>
  <c r="AJ128" s="1"/>
  <c r="Q176"/>
  <c r="F146"/>
  <c r="H58"/>
  <c r="E110"/>
  <c r="J153"/>
  <c r="O153" s="1"/>
  <c r="AJ153" s="1"/>
  <c r="J156"/>
  <c r="O156" s="1"/>
  <c r="AJ156" s="1"/>
  <c r="E174"/>
  <c r="H174" s="1"/>
  <c r="E178"/>
  <c r="F200"/>
  <c r="E208"/>
  <c r="G208" s="1"/>
  <c r="U147"/>
  <c r="G72"/>
  <c r="H70"/>
  <c r="D85" s="1"/>
  <c r="AM78"/>
  <c r="I184"/>
  <c r="G184" s="1"/>
  <c r="F85"/>
  <c r="P68"/>
  <c r="B88"/>
  <c r="C88" s="1"/>
  <c r="B111"/>
  <c r="C111" s="1"/>
  <c r="AP128"/>
  <c r="B148"/>
  <c r="B144"/>
  <c r="B139"/>
  <c r="J214"/>
  <c r="O214" s="1"/>
  <c r="AJ214" s="1"/>
  <c r="AG235"/>
  <c r="C173"/>
  <c r="I173" s="1"/>
  <c r="B238"/>
  <c r="C238" s="1"/>
  <c r="Q267"/>
  <c r="AM51"/>
  <c r="C69"/>
  <c r="J69" s="1"/>
  <c r="P245"/>
  <c r="W55"/>
  <c r="I43"/>
  <c r="N43" s="1"/>
  <c r="AI43" s="1"/>
  <c r="G83"/>
  <c r="H51"/>
  <c r="L51" s="1"/>
  <c r="I35"/>
  <c r="T36"/>
  <c r="G147"/>
  <c r="T206"/>
  <c r="AK203"/>
  <c r="I160"/>
  <c r="N160" s="1"/>
  <c r="AI160" s="1"/>
  <c r="H129"/>
  <c r="G155"/>
  <c r="G170" s="1"/>
  <c r="H127"/>
  <c r="D175"/>
  <c r="F108"/>
  <c r="AG108" s="1"/>
  <c r="AM202"/>
  <c r="AG162"/>
  <c r="AM162" s="1"/>
  <c r="AM200"/>
  <c r="AG191"/>
  <c r="AM191" s="1"/>
  <c r="AM201"/>
  <c r="AG160"/>
  <c r="AM160" s="1"/>
  <c r="E171"/>
  <c r="C178"/>
  <c r="I188"/>
  <c r="E175"/>
  <c r="J161"/>
  <c r="O161" s="1"/>
  <c r="AJ161" s="1"/>
  <c r="L183"/>
  <c r="J189"/>
  <c r="O189" s="1"/>
  <c r="AG206"/>
  <c r="AM206" s="1"/>
  <c r="F145"/>
  <c r="AG147"/>
  <c r="G63"/>
  <c r="G126"/>
  <c r="I126" s="1"/>
  <c r="G129"/>
  <c r="I129" s="1"/>
  <c r="N129" s="1"/>
  <c r="J129"/>
  <c r="AP129" s="1"/>
  <c r="J40"/>
  <c r="O40" s="1"/>
  <c r="AJ40" s="1"/>
  <c r="O67"/>
  <c r="AJ67" s="1"/>
  <c r="J65"/>
  <c r="O65" s="1"/>
  <c r="AJ65" s="1"/>
  <c r="H185"/>
  <c r="I185" s="1"/>
  <c r="K185" s="1"/>
  <c r="I71"/>
  <c r="N71" s="1"/>
  <c r="AI71" s="1"/>
  <c r="J66"/>
  <c r="Q198"/>
  <c r="S198" s="1"/>
  <c r="T198" s="1"/>
  <c r="G214"/>
  <c r="G229" s="1"/>
  <c r="G216"/>
  <c r="G231" s="1"/>
  <c r="G220"/>
  <c r="G235" s="1"/>
  <c r="G213"/>
  <c r="G228" s="1"/>
  <c r="AG228"/>
  <c r="AG258"/>
  <c r="C262"/>
  <c r="H263"/>
  <c r="K263" s="1"/>
  <c r="AI263" s="1"/>
  <c r="AG265"/>
  <c r="B228"/>
  <c r="C228" s="1"/>
  <c r="J216"/>
  <c r="O216" s="1"/>
  <c r="AJ216" s="1"/>
  <c r="C215"/>
  <c r="C243"/>
  <c r="J243" s="1"/>
  <c r="J250"/>
  <c r="O250" s="1"/>
  <c r="AJ250" s="1"/>
  <c r="AK276"/>
  <c r="AK279"/>
  <c r="C288"/>
  <c r="AO65"/>
  <c r="N65"/>
  <c r="AI65" s="1"/>
  <c r="H54"/>
  <c r="T70"/>
  <c r="H172"/>
  <c r="AG143"/>
  <c r="AM143" s="1"/>
  <c r="U173"/>
  <c r="F168"/>
  <c r="I153"/>
  <c r="N153" s="1"/>
  <c r="AI153" s="1"/>
  <c r="F177"/>
  <c r="J183"/>
  <c r="E198"/>
  <c r="AP191"/>
  <c r="AP132"/>
  <c r="AP126"/>
  <c r="J123"/>
  <c r="E138"/>
  <c r="J72"/>
  <c r="G17"/>
  <c r="AG69"/>
  <c r="AM69" s="1"/>
  <c r="F84"/>
  <c r="AG84" s="1"/>
  <c r="AM84" s="1"/>
  <c r="J63"/>
  <c r="E78"/>
  <c r="G78" s="1"/>
  <c r="AQ143"/>
  <c r="AQ140"/>
  <c r="AQ145"/>
  <c r="AQ147"/>
  <c r="S143"/>
  <c r="T143" s="1"/>
  <c r="AQ203"/>
  <c r="AQ199"/>
  <c r="AQ200"/>
  <c r="AQ202"/>
  <c r="AQ206"/>
  <c r="S203"/>
  <c r="T203" s="1"/>
  <c r="H56"/>
  <c r="L53"/>
  <c r="C55"/>
  <c r="S49"/>
  <c r="T49" s="1"/>
  <c r="T35"/>
  <c r="T37"/>
  <c r="G34"/>
  <c r="G157"/>
  <c r="G172" s="1"/>
  <c r="T153"/>
  <c r="I155"/>
  <c r="N155" s="1"/>
  <c r="AI155" s="1"/>
  <c r="T154"/>
  <c r="F50"/>
  <c r="L192"/>
  <c r="AM82"/>
  <c r="L191"/>
  <c r="AM183"/>
  <c r="AM161"/>
  <c r="AG192"/>
  <c r="AM192" s="1"/>
  <c r="AG132"/>
  <c r="AM132" s="1"/>
  <c r="AG155"/>
  <c r="AM155" s="1"/>
  <c r="E170"/>
  <c r="AG171"/>
  <c r="AM171" s="1"/>
  <c r="AM133"/>
  <c r="AM93"/>
  <c r="G64"/>
  <c r="G71"/>
  <c r="J37"/>
  <c r="AP37" s="1"/>
  <c r="J35"/>
  <c r="O35" s="1"/>
  <c r="AJ35" s="1"/>
  <c r="P70"/>
  <c r="Q70" s="1"/>
  <c r="H191"/>
  <c r="I191" s="1"/>
  <c r="H186"/>
  <c r="I186" s="1"/>
  <c r="E86"/>
  <c r="G86" s="1"/>
  <c r="E80"/>
  <c r="G80" s="1"/>
  <c r="F81"/>
  <c r="N73"/>
  <c r="AI73" s="1"/>
  <c r="AG70"/>
  <c r="AM70" s="1"/>
  <c r="N68"/>
  <c r="AI68" s="1"/>
  <c r="AQ122"/>
  <c r="K188"/>
  <c r="AO153"/>
  <c r="K159"/>
  <c r="AO160"/>
  <c r="F178"/>
  <c r="J184"/>
  <c r="E199"/>
  <c r="AG199"/>
  <c r="AM199" s="1"/>
  <c r="AP192"/>
  <c r="J130"/>
  <c r="E145"/>
  <c r="J124"/>
  <c r="E139"/>
  <c r="AG71"/>
  <c r="AM71" s="1"/>
  <c r="AO71"/>
  <c r="P219"/>
  <c r="Q219" s="1"/>
  <c r="I22" s="1"/>
  <c r="P213"/>
  <c r="Q213" s="1"/>
  <c r="P214"/>
  <c r="Q214" s="1"/>
  <c r="P215"/>
  <c r="Q215" s="1"/>
  <c r="P216"/>
  <c r="Q216" s="1"/>
  <c r="P220"/>
  <c r="Q220" s="1"/>
  <c r="P223"/>
  <c r="Q223" s="1"/>
  <c r="P217"/>
  <c r="Q217" s="1"/>
  <c r="P221"/>
  <c r="Q221" s="1"/>
  <c r="L233"/>
  <c r="P222"/>
  <c r="Q222" s="1"/>
  <c r="E82"/>
  <c r="G82" s="1"/>
  <c r="F87"/>
  <c r="AG63"/>
  <c r="AM63" s="1"/>
  <c r="AG72"/>
  <c r="AM72" s="1"/>
  <c r="AG66"/>
  <c r="AM66" s="1"/>
  <c r="AG64"/>
  <c r="AM64" s="1"/>
  <c r="H17"/>
  <c r="J143"/>
  <c r="S176"/>
  <c r="T176" s="1"/>
  <c r="J154"/>
  <c r="G154"/>
  <c r="G169" s="1"/>
  <c r="J163"/>
  <c r="AG163"/>
  <c r="AM163" s="1"/>
  <c r="AP185"/>
  <c r="AP187"/>
  <c r="J193"/>
  <c r="L193"/>
  <c r="AP131"/>
  <c r="AG67"/>
  <c r="AM67" s="1"/>
  <c r="Q38"/>
  <c r="AM58"/>
  <c r="AG139"/>
  <c r="AG43"/>
  <c r="AM43" s="1"/>
  <c r="E168"/>
  <c r="E207"/>
  <c r="F140"/>
  <c r="AG142"/>
  <c r="G67"/>
  <c r="H189"/>
  <c r="I189" s="1"/>
  <c r="G189" s="1"/>
  <c r="E88"/>
  <c r="G88" s="1"/>
  <c r="AK77"/>
  <c r="AQ77" s="1"/>
  <c r="I67"/>
  <c r="K67" s="1"/>
  <c r="I66"/>
  <c r="H66" s="1"/>
  <c r="H83"/>
  <c r="L83" s="1"/>
  <c r="K68"/>
  <c r="AG141"/>
  <c r="AI278"/>
  <c r="AI248"/>
  <c r="P158"/>
  <c r="L173" s="1"/>
  <c r="AG42"/>
  <c r="AM42" s="1"/>
  <c r="F57"/>
  <c r="AO155"/>
  <c r="P159"/>
  <c r="L174" s="1"/>
  <c r="G20"/>
  <c r="J190"/>
  <c r="AG190"/>
  <c r="AM190" s="1"/>
  <c r="G70"/>
  <c r="G69"/>
  <c r="G66"/>
  <c r="AP125"/>
  <c r="AP67"/>
  <c r="H187"/>
  <c r="I187" s="1"/>
  <c r="H183"/>
  <c r="I183" s="1"/>
  <c r="H193"/>
  <c r="I193" s="1"/>
  <c r="Q68"/>
  <c r="AQ68" s="1"/>
  <c r="AO68"/>
  <c r="I69"/>
  <c r="H69" s="1"/>
  <c r="I64"/>
  <c r="I72"/>
  <c r="AQ138"/>
  <c r="S138"/>
  <c r="T138" s="1"/>
  <c r="AM88"/>
  <c r="P161"/>
  <c r="L176" s="1"/>
  <c r="E84"/>
  <c r="F79"/>
  <c r="H73"/>
  <c r="N70"/>
  <c r="AI70" s="1"/>
  <c r="H65"/>
  <c r="Q175"/>
  <c r="Q170"/>
  <c r="G22"/>
  <c r="J223"/>
  <c r="E238"/>
  <c r="AG231"/>
  <c r="AG216"/>
  <c r="S261"/>
  <c r="T261" s="1"/>
  <c r="Q79"/>
  <c r="S79" s="1"/>
  <c r="Q84"/>
  <c r="AQ84" s="1"/>
  <c r="O68"/>
  <c r="AJ68" s="1"/>
  <c r="C83"/>
  <c r="J83" s="1"/>
  <c r="Q117"/>
  <c r="F230"/>
  <c r="G222"/>
  <c r="G237" s="1"/>
  <c r="E237"/>
  <c r="AK233"/>
  <c r="AK218"/>
  <c r="U233"/>
  <c r="H233"/>
  <c r="P252"/>
  <c r="P253"/>
  <c r="P249"/>
  <c r="P250"/>
  <c r="P251"/>
  <c r="S262"/>
  <c r="T262" s="1"/>
  <c r="Q259"/>
  <c r="C259"/>
  <c r="Q237"/>
  <c r="H22"/>
  <c r="J219"/>
  <c r="E234"/>
  <c r="S230"/>
  <c r="T230" s="1"/>
  <c r="S235"/>
  <c r="T235" s="1"/>
  <c r="O245"/>
  <c r="AJ245" s="1"/>
  <c r="T233"/>
  <c r="W233"/>
  <c r="S267"/>
  <c r="T267" s="1"/>
  <c r="Q264"/>
  <c r="C264"/>
  <c r="Q292"/>
  <c r="C292"/>
  <c r="Q112"/>
  <c r="S112" s="1"/>
  <c r="T112" s="1"/>
  <c r="K158"/>
  <c r="F246"/>
  <c r="G246" s="1"/>
  <c r="J213"/>
  <c r="J217"/>
  <c r="F231"/>
  <c r="I233"/>
  <c r="N218"/>
  <c r="AI218" s="1"/>
  <c r="K218"/>
  <c r="T173"/>
  <c r="W173"/>
  <c r="Q268"/>
  <c r="C268"/>
  <c r="Q108"/>
  <c r="C203"/>
  <c r="J203" s="1"/>
  <c r="F237"/>
  <c r="F250"/>
  <c r="Q234"/>
  <c r="J221"/>
  <c r="F298"/>
  <c r="F294"/>
  <c r="AG259"/>
  <c r="D259"/>
  <c r="E260"/>
  <c r="G263"/>
  <c r="AG266"/>
  <c r="D266"/>
  <c r="E267"/>
  <c r="AK263"/>
  <c r="J33"/>
  <c r="O33" s="1"/>
  <c r="AJ33" s="1"/>
  <c r="C220"/>
  <c r="J220" s="1"/>
  <c r="C244"/>
  <c r="J244" s="1"/>
  <c r="J251"/>
  <c r="B260"/>
  <c r="Q290"/>
  <c r="Q289"/>
  <c r="C289"/>
  <c r="C283"/>
  <c r="B298"/>
  <c r="C279"/>
  <c r="S263"/>
  <c r="T263" s="1"/>
  <c r="J215"/>
  <c r="K248"/>
  <c r="G293"/>
  <c r="E258"/>
  <c r="E262"/>
  <c r="E265"/>
  <c r="V248"/>
  <c r="Q231"/>
  <c r="B265"/>
  <c r="AK290"/>
  <c r="B296"/>
  <c r="B297"/>
  <c r="C282"/>
  <c r="J39"/>
  <c r="AP39" s="1"/>
  <c r="J246"/>
  <c r="AK298"/>
  <c r="Q293"/>
  <c r="S83"/>
  <c r="T83" s="1"/>
  <c r="AQ81"/>
  <c r="F110"/>
  <c r="AG110" s="1"/>
  <c r="K98"/>
  <c r="R98" s="1"/>
  <c r="E108"/>
  <c r="E117"/>
  <c r="G117" s="1"/>
  <c r="V102"/>
  <c r="E116"/>
  <c r="H116" s="1"/>
  <c r="L116" s="1"/>
  <c r="V101"/>
  <c r="E118"/>
  <c r="G118" s="1"/>
  <c r="V103"/>
  <c r="H18"/>
  <c r="V99"/>
  <c r="E109"/>
  <c r="V94"/>
  <c r="W94" s="1"/>
  <c r="W96" s="1"/>
  <c r="W98" s="1"/>
  <c r="W100" s="1"/>
  <c r="B115"/>
  <c r="C115" s="1"/>
  <c r="Q113"/>
  <c r="G113"/>
  <c r="W93"/>
  <c r="AM95"/>
  <c r="AM100"/>
  <c r="AM94"/>
  <c r="G93"/>
  <c r="F115"/>
  <c r="AG115" s="1"/>
  <c r="F114"/>
  <c r="AG114" s="1"/>
  <c r="AM103"/>
  <c r="AG113"/>
  <c r="AM113" s="1"/>
  <c r="G19"/>
  <c r="G18"/>
  <c r="AM96"/>
  <c r="W95"/>
  <c r="W97"/>
  <c r="G97"/>
  <c r="E112"/>
  <c r="I97"/>
  <c r="N97" s="1"/>
  <c r="AI97" s="1"/>
  <c r="J113"/>
  <c r="C110"/>
  <c r="C112"/>
  <c r="J95"/>
  <c r="O95" s="1"/>
  <c r="AJ95" s="1"/>
  <c r="C117"/>
  <c r="S117"/>
  <c r="T117" s="1"/>
  <c r="J96"/>
  <c r="O96" s="1"/>
  <c r="AJ96" s="1"/>
  <c r="J100"/>
  <c r="AP100" s="1"/>
  <c r="C108"/>
  <c r="T103"/>
  <c r="G100"/>
  <c r="AP98"/>
  <c r="G99"/>
  <c r="E111"/>
  <c r="G111" s="1"/>
  <c r="E114"/>
  <c r="J101"/>
  <c r="AP101" s="1"/>
  <c r="I96"/>
  <c r="N96" s="1"/>
  <c r="AI96" s="1"/>
  <c r="G96"/>
  <c r="E115"/>
  <c r="T96"/>
  <c r="T101"/>
  <c r="T97"/>
  <c r="D111"/>
  <c r="T102"/>
  <c r="I103"/>
  <c r="P103" s="1"/>
  <c r="D112"/>
  <c r="N98"/>
  <c r="AI98" s="1"/>
  <c r="I100"/>
  <c r="AO100" s="1"/>
  <c r="I99"/>
  <c r="P99" s="1"/>
  <c r="AO98"/>
  <c r="T100"/>
  <c r="H113"/>
  <c r="T93"/>
  <c r="I93"/>
  <c r="AO93" s="1"/>
  <c r="P98"/>
  <c r="Q98" s="1"/>
  <c r="T99"/>
  <c r="J18" s="1"/>
  <c r="T94"/>
  <c r="H118"/>
  <c r="I94"/>
  <c r="N94" s="1"/>
  <c r="AI94" s="1"/>
  <c r="J93"/>
  <c r="O93" s="1"/>
  <c r="AJ93" s="1"/>
  <c r="J97"/>
  <c r="O97" s="1"/>
  <c r="AJ97" s="1"/>
  <c r="J102"/>
  <c r="AP102" s="1"/>
  <c r="I101"/>
  <c r="J94"/>
  <c r="O94" s="1"/>
  <c r="AJ94" s="1"/>
  <c r="J99"/>
  <c r="AP99" s="1"/>
  <c r="J103"/>
  <c r="AP103" s="1"/>
  <c r="G101"/>
  <c r="H117"/>
  <c r="G95"/>
  <c r="AG116"/>
  <c r="I102"/>
  <c r="I95"/>
  <c r="G102"/>
  <c r="G94"/>
  <c r="AG102"/>
  <c r="AM102" s="1"/>
  <c r="F109"/>
  <c r="AG101"/>
  <c r="AM101" s="1"/>
  <c r="B118"/>
  <c r="B114"/>
  <c r="B109"/>
  <c r="AP41"/>
  <c r="O38"/>
  <c r="AJ38" s="1"/>
  <c r="AP38"/>
  <c r="K38"/>
  <c r="O36"/>
  <c r="AJ36" s="1"/>
  <c r="C52"/>
  <c r="Q52"/>
  <c r="C57"/>
  <c r="Q57"/>
  <c r="T56"/>
  <c r="W56"/>
  <c r="B48"/>
  <c r="Q54"/>
  <c r="C42"/>
  <c r="J42" s="1"/>
  <c r="K293" l="1"/>
  <c r="K203"/>
  <c r="O203" s="1"/>
  <c r="AO203"/>
  <c r="I203"/>
  <c r="AI203" s="1"/>
  <c r="P157"/>
  <c r="L172" s="1"/>
  <c r="D132"/>
  <c r="P132" s="1"/>
  <c r="N132"/>
  <c r="L143"/>
  <c r="M143" s="1"/>
  <c r="AI126"/>
  <c r="D126"/>
  <c r="D141" s="1"/>
  <c r="N126"/>
  <c r="D127"/>
  <c r="N127"/>
  <c r="AI127" s="1"/>
  <c r="D125"/>
  <c r="N125"/>
  <c r="AI125" s="1"/>
  <c r="D123"/>
  <c r="P123" s="1"/>
  <c r="N123"/>
  <c r="AI123" s="1"/>
  <c r="D133"/>
  <c r="N133"/>
  <c r="AI133" s="1"/>
  <c r="D130"/>
  <c r="N130"/>
  <c r="AI130" s="1"/>
  <c r="AO128"/>
  <c r="N128"/>
  <c r="AI128" s="1"/>
  <c r="AI132"/>
  <c r="AI131"/>
  <c r="AP33"/>
  <c r="Q58"/>
  <c r="S58" s="1"/>
  <c r="T58" s="1"/>
  <c r="AO43"/>
  <c r="M53"/>
  <c r="M51"/>
  <c r="J293"/>
  <c r="O293" s="1"/>
  <c r="P283"/>
  <c r="P275"/>
  <c r="P282"/>
  <c r="P274"/>
  <c r="L289" s="1"/>
  <c r="M289" s="1"/>
  <c r="P281"/>
  <c r="P273"/>
  <c r="P277"/>
  <c r="P279"/>
  <c r="I279" s="1"/>
  <c r="E279" s="1"/>
  <c r="P276"/>
  <c r="P280"/>
  <c r="L260"/>
  <c r="M260" s="1"/>
  <c r="F243"/>
  <c r="G243" s="1"/>
  <c r="L262"/>
  <c r="F253"/>
  <c r="G253" s="1"/>
  <c r="F249"/>
  <c r="G249" s="1"/>
  <c r="I23"/>
  <c r="AK33"/>
  <c r="AK48"/>
  <c r="AP40"/>
  <c r="U112"/>
  <c r="Q236"/>
  <c r="S236" s="1"/>
  <c r="W236" s="1"/>
  <c r="K125"/>
  <c r="R125" s="1"/>
  <c r="K156"/>
  <c r="S156" s="1"/>
  <c r="P156"/>
  <c r="AG144"/>
  <c r="H71"/>
  <c r="K160"/>
  <c r="S160" s="1"/>
  <c r="N33"/>
  <c r="AI33" s="1"/>
  <c r="N42"/>
  <c r="AI42" s="1"/>
  <c r="AO33"/>
  <c r="W200"/>
  <c r="I48"/>
  <c r="AI48" s="1"/>
  <c r="AM148"/>
  <c r="K40"/>
  <c r="S40" s="1"/>
  <c r="S80"/>
  <c r="N63"/>
  <c r="AI63" s="1"/>
  <c r="AO127"/>
  <c r="K127"/>
  <c r="R127" s="1"/>
  <c r="AP189"/>
  <c r="Q169"/>
  <c r="S169" s="1"/>
  <c r="W169" s="1"/>
  <c r="Q51"/>
  <c r="S51" s="1"/>
  <c r="T51" s="1"/>
  <c r="AG54"/>
  <c r="AM54" s="1"/>
  <c r="O132"/>
  <c r="AJ132" s="1"/>
  <c r="K53"/>
  <c r="N53" s="1"/>
  <c r="G141"/>
  <c r="U58"/>
  <c r="U52"/>
  <c r="AM116"/>
  <c r="C116"/>
  <c r="K131"/>
  <c r="R131" s="1"/>
  <c r="P43"/>
  <c r="Q43" s="1"/>
  <c r="AK43" s="1"/>
  <c r="AO42"/>
  <c r="H175"/>
  <c r="K175" s="1"/>
  <c r="AI175" s="1"/>
  <c r="O131"/>
  <c r="AJ131" s="1"/>
  <c r="H52"/>
  <c r="AO52" s="1"/>
  <c r="Q146"/>
  <c r="C146"/>
  <c r="AP36"/>
  <c r="K157"/>
  <c r="AP157" s="1"/>
  <c r="K132"/>
  <c r="Q229"/>
  <c r="S229" s="1"/>
  <c r="T229" s="1"/>
  <c r="J173"/>
  <c r="N173" s="1"/>
  <c r="Q201"/>
  <c r="C201"/>
  <c r="AQ108"/>
  <c r="AM118"/>
  <c r="AP186"/>
  <c r="AO157"/>
  <c r="K186"/>
  <c r="R186" s="1"/>
  <c r="D138"/>
  <c r="H138" s="1"/>
  <c r="L138" s="1"/>
  <c r="M138" s="1"/>
  <c r="C266"/>
  <c r="W141"/>
  <c r="Q86"/>
  <c r="S204"/>
  <c r="T204" s="1"/>
  <c r="AQ204"/>
  <c r="O53"/>
  <c r="L52"/>
  <c r="M52" s="1"/>
  <c r="U54"/>
  <c r="U51"/>
  <c r="AP35"/>
  <c r="AQ85"/>
  <c r="W267"/>
  <c r="AP133"/>
  <c r="U145"/>
  <c r="T147"/>
  <c r="C204"/>
  <c r="T141"/>
  <c r="AO173"/>
  <c r="K41"/>
  <c r="R41" s="1"/>
  <c r="U50"/>
  <c r="U49"/>
  <c r="U48"/>
  <c r="F245"/>
  <c r="U245" s="1"/>
  <c r="K187"/>
  <c r="S187" s="1"/>
  <c r="P154"/>
  <c r="L169" s="1"/>
  <c r="N190"/>
  <c r="AI190" s="1"/>
  <c r="AG52"/>
  <c r="AM52" s="1"/>
  <c r="J263"/>
  <c r="O263" s="1"/>
  <c r="V263" s="1"/>
  <c r="W145"/>
  <c r="T53"/>
  <c r="V53" s="1"/>
  <c r="U55"/>
  <c r="U56"/>
  <c r="Q232"/>
  <c r="K71"/>
  <c r="S71" s="1"/>
  <c r="P155"/>
  <c r="AQ141"/>
  <c r="K126"/>
  <c r="S126" s="1"/>
  <c r="W53"/>
  <c r="I245"/>
  <c r="AI245" s="1"/>
  <c r="H55"/>
  <c r="AO55" s="1"/>
  <c r="M261"/>
  <c r="Q82"/>
  <c r="G55"/>
  <c r="D124"/>
  <c r="AO124"/>
  <c r="AP73"/>
  <c r="P188"/>
  <c r="Q188" s="1"/>
  <c r="AQ188" s="1"/>
  <c r="H63"/>
  <c r="P63" s="1"/>
  <c r="Q63" s="1"/>
  <c r="O133"/>
  <c r="AJ133" s="1"/>
  <c r="K192"/>
  <c r="R192" s="1"/>
  <c r="W51"/>
  <c r="K33"/>
  <c r="AI293"/>
  <c r="Q238"/>
  <c r="S238" s="1"/>
  <c r="W238" s="1"/>
  <c r="K155"/>
  <c r="AO132"/>
  <c r="K143"/>
  <c r="AO126"/>
  <c r="K133"/>
  <c r="P163"/>
  <c r="L178" s="1"/>
  <c r="AO133"/>
  <c r="N192"/>
  <c r="AI192" s="1"/>
  <c r="AQ208"/>
  <c r="I143"/>
  <c r="AI143" s="1"/>
  <c r="P128"/>
  <c r="Q128" s="1"/>
  <c r="AQ128" s="1"/>
  <c r="AO129"/>
  <c r="H171"/>
  <c r="L48"/>
  <c r="M48" s="1"/>
  <c r="W208"/>
  <c r="P40"/>
  <c r="Q40" s="1"/>
  <c r="AK55" s="1"/>
  <c r="AO40"/>
  <c r="W288"/>
  <c r="AO36"/>
  <c r="I247"/>
  <c r="AI247" s="1"/>
  <c r="AO48"/>
  <c r="P34"/>
  <c r="Q34" s="1"/>
  <c r="AK34" s="1"/>
  <c r="C208"/>
  <c r="K34"/>
  <c r="AO125"/>
  <c r="P36"/>
  <c r="Q36" s="1"/>
  <c r="AK36" s="1"/>
  <c r="Q115"/>
  <c r="M98"/>
  <c r="AH98" s="1"/>
  <c r="S84"/>
  <c r="U84" s="1"/>
  <c r="U288"/>
  <c r="K70"/>
  <c r="AO131"/>
  <c r="K128"/>
  <c r="AO130"/>
  <c r="K162"/>
  <c r="P162"/>
  <c r="AO192"/>
  <c r="AP70"/>
  <c r="AK39"/>
  <c r="I16"/>
  <c r="AP69"/>
  <c r="O69"/>
  <c r="P17" s="1"/>
  <c r="Q207"/>
  <c r="C207"/>
  <c r="C142"/>
  <c r="Q142"/>
  <c r="H112"/>
  <c r="I112" s="1"/>
  <c r="AI112" s="1"/>
  <c r="AO156"/>
  <c r="AM142"/>
  <c r="AM144"/>
  <c r="AP65"/>
  <c r="H5"/>
  <c r="F12" s="1"/>
  <c r="G12" s="1"/>
  <c r="Q87"/>
  <c r="N37"/>
  <c r="AI37" s="1"/>
  <c r="K35"/>
  <c r="AN35" s="1"/>
  <c r="O34"/>
  <c r="AJ34" s="1"/>
  <c r="K39"/>
  <c r="S39" s="1"/>
  <c r="S98"/>
  <c r="H108"/>
  <c r="AO108" s="1"/>
  <c r="AQ79"/>
  <c r="Q88"/>
  <c r="AM139"/>
  <c r="K189"/>
  <c r="M189" s="1"/>
  <c r="AO37"/>
  <c r="Q78"/>
  <c r="O39"/>
  <c r="P16" s="1"/>
  <c r="AM147"/>
  <c r="AQ198"/>
  <c r="AM141"/>
  <c r="AP71"/>
  <c r="AO123"/>
  <c r="T123"/>
  <c r="AK123" s="1"/>
  <c r="AK138" s="1"/>
  <c r="G200"/>
  <c r="K43"/>
  <c r="R43" s="1"/>
  <c r="H169"/>
  <c r="AO169" s="1"/>
  <c r="O243"/>
  <c r="AJ243" s="1"/>
  <c r="D142"/>
  <c r="T127"/>
  <c r="AK127" s="1"/>
  <c r="AK142" s="1"/>
  <c r="P127"/>
  <c r="T171"/>
  <c r="W171"/>
  <c r="AP66"/>
  <c r="O66"/>
  <c r="AJ66" s="1"/>
  <c r="P126"/>
  <c r="Q126" s="1"/>
  <c r="T126"/>
  <c r="AK126" s="1"/>
  <c r="AK141" s="1"/>
  <c r="AO35"/>
  <c r="N35"/>
  <c r="AI35" s="1"/>
  <c r="Q144"/>
  <c r="C144"/>
  <c r="AG146"/>
  <c r="AM146" s="1"/>
  <c r="R278"/>
  <c r="S278"/>
  <c r="O37"/>
  <c r="AJ37" s="1"/>
  <c r="O43"/>
  <c r="AJ43" s="1"/>
  <c r="S108"/>
  <c r="AQ117"/>
  <c r="U83"/>
  <c r="K37"/>
  <c r="R37" s="1"/>
  <c r="G112"/>
  <c r="AN98"/>
  <c r="H111"/>
  <c r="L111" s="1"/>
  <c r="W112"/>
  <c r="K83"/>
  <c r="O83" s="1"/>
  <c r="V83" s="1"/>
  <c r="W261"/>
  <c r="G84"/>
  <c r="P160"/>
  <c r="U171"/>
  <c r="K129"/>
  <c r="M129" s="1"/>
  <c r="U203"/>
  <c r="U201" s="1"/>
  <c r="W174"/>
  <c r="AO161"/>
  <c r="AG145"/>
  <c r="AM145" s="1"/>
  <c r="AK54"/>
  <c r="N184"/>
  <c r="AI184" s="1"/>
  <c r="AO190"/>
  <c r="M262"/>
  <c r="AO58"/>
  <c r="I58"/>
  <c r="AI58" s="1"/>
  <c r="L58"/>
  <c r="M58" s="1"/>
  <c r="D146"/>
  <c r="H146" s="1"/>
  <c r="L146" s="1"/>
  <c r="M146" s="1"/>
  <c r="T131"/>
  <c r="AK131" s="1"/>
  <c r="AK146" s="1"/>
  <c r="AK68"/>
  <c r="AK83"/>
  <c r="AO171"/>
  <c r="K171"/>
  <c r="AI171" s="1"/>
  <c r="AO41"/>
  <c r="N41"/>
  <c r="AI41" s="1"/>
  <c r="P41"/>
  <c r="Q41" s="1"/>
  <c r="AQ56" s="1"/>
  <c r="L259"/>
  <c r="M259" s="1"/>
  <c r="I244"/>
  <c r="AI244" s="1"/>
  <c r="S295"/>
  <c r="W295" s="1"/>
  <c r="AO185"/>
  <c r="N185"/>
  <c r="AI185" s="1"/>
  <c r="O129"/>
  <c r="AO188"/>
  <c r="N188"/>
  <c r="AI188" s="1"/>
  <c r="AG85"/>
  <c r="AM85" s="1"/>
  <c r="G85"/>
  <c r="AO39"/>
  <c r="N39"/>
  <c r="I243"/>
  <c r="AI243" s="1"/>
  <c r="L258"/>
  <c r="M258" s="1"/>
  <c r="V203"/>
  <c r="F244"/>
  <c r="G244" s="1"/>
  <c r="Q111"/>
  <c r="S111" s="1"/>
  <c r="W111" s="1"/>
  <c r="W198"/>
  <c r="K73"/>
  <c r="R73" s="1"/>
  <c r="K65"/>
  <c r="S65" s="1"/>
  <c r="AO162"/>
  <c r="W177"/>
  <c r="AO184"/>
  <c r="G185"/>
  <c r="P35"/>
  <c r="Q35" s="1"/>
  <c r="AQ50" s="1"/>
  <c r="D140"/>
  <c r="H140" s="1"/>
  <c r="P125"/>
  <c r="T125"/>
  <c r="AK125" s="1"/>
  <c r="AK140" s="1"/>
  <c r="Q139"/>
  <c r="C139"/>
  <c r="AJ189"/>
  <c r="P21"/>
  <c r="AO51"/>
  <c r="I51"/>
  <c r="AI51" s="1"/>
  <c r="AK297"/>
  <c r="AK282"/>
  <c r="Q148"/>
  <c r="C148"/>
  <c r="T132"/>
  <c r="AK132" s="1"/>
  <c r="AK147" s="1"/>
  <c r="H49"/>
  <c r="G49"/>
  <c r="AI159"/>
  <c r="O20"/>
  <c r="G116"/>
  <c r="W294"/>
  <c r="W262"/>
  <c r="D129"/>
  <c r="D144" s="1"/>
  <c r="AQ40"/>
  <c r="W176"/>
  <c r="K161"/>
  <c r="M161" s="1"/>
  <c r="AH161" s="1"/>
  <c r="K153"/>
  <c r="R153" s="1"/>
  <c r="W172"/>
  <c r="Q228"/>
  <c r="G146"/>
  <c r="AQ36"/>
  <c r="T69"/>
  <c r="D84"/>
  <c r="P69"/>
  <c r="Q69" s="1"/>
  <c r="D81"/>
  <c r="P66"/>
  <c r="Q66" s="1"/>
  <c r="AQ66" s="1"/>
  <c r="T66"/>
  <c r="D204"/>
  <c r="T189"/>
  <c r="P189"/>
  <c r="Q189" s="1"/>
  <c r="R187"/>
  <c r="C297"/>
  <c r="Q297"/>
  <c r="AL263"/>
  <c r="AL248"/>
  <c r="AL293"/>
  <c r="AL278"/>
  <c r="R248"/>
  <c r="M248"/>
  <c r="AH248" s="1"/>
  <c r="S248"/>
  <c r="U247"/>
  <c r="F262"/>
  <c r="O220"/>
  <c r="AJ220" s="1"/>
  <c r="U243"/>
  <c r="F258"/>
  <c r="S268"/>
  <c r="T268" s="1"/>
  <c r="S232"/>
  <c r="W232" s="1"/>
  <c r="U246"/>
  <c r="F261"/>
  <c r="AN158"/>
  <c r="AP158"/>
  <c r="R158"/>
  <c r="S158"/>
  <c r="M158"/>
  <c r="AH158" s="1"/>
  <c r="L265"/>
  <c r="M265" s="1"/>
  <c r="I250"/>
  <c r="F252"/>
  <c r="L267"/>
  <c r="M267" s="1"/>
  <c r="I252"/>
  <c r="U230"/>
  <c r="P65"/>
  <c r="Q65" s="1"/>
  <c r="AQ65" s="1"/>
  <c r="T65"/>
  <c r="D80"/>
  <c r="AO64"/>
  <c r="N64"/>
  <c r="AI64" s="1"/>
  <c r="AO183"/>
  <c r="G183"/>
  <c r="N183"/>
  <c r="AI183" s="1"/>
  <c r="K190"/>
  <c r="AP190"/>
  <c r="O190"/>
  <c r="AJ190" s="1"/>
  <c r="AP156"/>
  <c r="R156"/>
  <c r="AJ69"/>
  <c r="AO67"/>
  <c r="N67"/>
  <c r="AI67" s="1"/>
  <c r="M174"/>
  <c r="M169"/>
  <c r="M176"/>
  <c r="S127"/>
  <c r="L237"/>
  <c r="M237" s="1"/>
  <c r="I222"/>
  <c r="L238"/>
  <c r="M238" s="1"/>
  <c r="I223"/>
  <c r="K223" s="1"/>
  <c r="I214"/>
  <c r="L229"/>
  <c r="M229" s="1"/>
  <c r="K130"/>
  <c r="AP130"/>
  <c r="O130"/>
  <c r="AJ130" s="1"/>
  <c r="G199"/>
  <c r="AG81"/>
  <c r="AM81" s="1"/>
  <c r="G81"/>
  <c r="AO191"/>
  <c r="N191"/>
  <c r="AI191" s="1"/>
  <c r="AP63"/>
  <c r="K63"/>
  <c r="O63"/>
  <c r="AJ63" s="1"/>
  <c r="AP183"/>
  <c r="K183"/>
  <c r="O183"/>
  <c r="AJ183" s="1"/>
  <c r="U168"/>
  <c r="H168"/>
  <c r="AQ42"/>
  <c r="AK57"/>
  <c r="AQ57"/>
  <c r="AK42"/>
  <c r="AO54"/>
  <c r="I54"/>
  <c r="H12"/>
  <c r="W117"/>
  <c r="W263"/>
  <c r="AQ70"/>
  <c r="K69"/>
  <c r="G191"/>
  <c r="W203"/>
  <c r="W143"/>
  <c r="U174"/>
  <c r="AQ48"/>
  <c r="S231"/>
  <c r="T231" s="1"/>
  <c r="O247"/>
  <c r="AJ247" s="1"/>
  <c r="K247"/>
  <c r="AK295"/>
  <c r="AK280"/>
  <c r="T291"/>
  <c r="U291"/>
  <c r="O244"/>
  <c r="AJ244" s="1"/>
  <c r="K244"/>
  <c r="S244" s="1"/>
  <c r="V253"/>
  <c r="G268"/>
  <c r="V249"/>
  <c r="G264"/>
  <c r="U294"/>
  <c r="U250"/>
  <c r="F265"/>
  <c r="O213"/>
  <c r="AJ213" s="1"/>
  <c r="U253"/>
  <c r="F268"/>
  <c r="S264"/>
  <c r="T264" s="1"/>
  <c r="O219"/>
  <c r="AN70"/>
  <c r="R70"/>
  <c r="M70"/>
  <c r="AH70" s="1"/>
  <c r="S259"/>
  <c r="T259" s="1"/>
  <c r="L297"/>
  <c r="M297" s="1"/>
  <c r="K233"/>
  <c r="AI233" s="1"/>
  <c r="O223"/>
  <c r="AJ223" s="1"/>
  <c r="L78"/>
  <c r="M78" s="1"/>
  <c r="M83"/>
  <c r="L80"/>
  <c r="M80" s="1"/>
  <c r="L79"/>
  <c r="M79" s="1"/>
  <c r="L88"/>
  <c r="M88" s="1"/>
  <c r="L87"/>
  <c r="M87" s="1"/>
  <c r="L81"/>
  <c r="M81" s="1"/>
  <c r="L82"/>
  <c r="M82" s="1"/>
  <c r="L86"/>
  <c r="M86" s="1"/>
  <c r="L85"/>
  <c r="M85" s="1"/>
  <c r="L84"/>
  <c r="M84" s="1"/>
  <c r="AG79"/>
  <c r="AM79" s="1"/>
  <c r="G79"/>
  <c r="AO72"/>
  <c r="N72"/>
  <c r="AI72" s="1"/>
  <c r="AO193"/>
  <c r="G193"/>
  <c r="N193"/>
  <c r="AI193" s="1"/>
  <c r="R129"/>
  <c r="Q154"/>
  <c r="Q159"/>
  <c r="Q158"/>
  <c r="Q157"/>
  <c r="Q161"/>
  <c r="AN68"/>
  <c r="M68"/>
  <c r="AH68" s="1"/>
  <c r="R68"/>
  <c r="S68"/>
  <c r="K66"/>
  <c r="AO66"/>
  <c r="N66"/>
  <c r="AI66" s="1"/>
  <c r="AQ38"/>
  <c r="AK53"/>
  <c r="AQ53"/>
  <c r="AK38"/>
  <c r="S131"/>
  <c r="M186"/>
  <c r="AH186" s="1"/>
  <c r="AO163"/>
  <c r="K163"/>
  <c r="O163"/>
  <c r="AJ163" s="1"/>
  <c r="U208"/>
  <c r="G87"/>
  <c r="AG87"/>
  <c r="AM87" s="1"/>
  <c r="L232"/>
  <c r="M232" s="1"/>
  <c r="I217"/>
  <c r="K217" s="1"/>
  <c r="L230"/>
  <c r="M230" s="1"/>
  <c r="I215"/>
  <c r="K215" s="1"/>
  <c r="T71"/>
  <c r="D86"/>
  <c r="G145"/>
  <c r="R133"/>
  <c r="S133"/>
  <c r="R161"/>
  <c r="AO186"/>
  <c r="N186"/>
  <c r="AI186" s="1"/>
  <c r="G186"/>
  <c r="H170"/>
  <c r="AQ37"/>
  <c r="AK52"/>
  <c r="AK37"/>
  <c r="AQ52"/>
  <c r="AP123"/>
  <c r="K123"/>
  <c r="M123" s="1"/>
  <c r="O123"/>
  <c r="AJ123" s="1"/>
  <c r="R132"/>
  <c r="S132"/>
  <c r="G198"/>
  <c r="AO174"/>
  <c r="K174"/>
  <c r="N203"/>
  <c r="N83"/>
  <c r="H67"/>
  <c r="W50"/>
  <c r="O173"/>
  <c r="V173" s="1"/>
  <c r="X173" s="1"/>
  <c r="W49"/>
  <c r="H72"/>
  <c r="U176"/>
  <c r="H64"/>
  <c r="K246"/>
  <c r="O246"/>
  <c r="AJ246" s="1"/>
  <c r="V243"/>
  <c r="G258"/>
  <c r="O253"/>
  <c r="AJ253" s="1"/>
  <c r="O215"/>
  <c r="AJ215" s="1"/>
  <c r="Q298"/>
  <c r="C298"/>
  <c r="O251"/>
  <c r="AJ251" s="1"/>
  <c r="S234"/>
  <c r="W234" s="1"/>
  <c r="O217"/>
  <c r="AJ217" s="1"/>
  <c r="U249"/>
  <c r="F264"/>
  <c r="F260"/>
  <c r="L266"/>
  <c r="M266" s="1"/>
  <c r="I251"/>
  <c r="AI251" s="1"/>
  <c r="L268"/>
  <c r="M268" s="1"/>
  <c r="I253"/>
  <c r="AI253" s="1"/>
  <c r="L291"/>
  <c r="M291" s="1"/>
  <c r="S175"/>
  <c r="D88"/>
  <c r="T73"/>
  <c r="P73"/>
  <c r="Q73" s="1"/>
  <c r="AQ73" s="1"/>
  <c r="AN67"/>
  <c r="M67"/>
  <c r="AH67" s="1"/>
  <c r="R67"/>
  <c r="AN155"/>
  <c r="AP155"/>
  <c r="R155"/>
  <c r="M155"/>
  <c r="AH155" s="1"/>
  <c r="S155"/>
  <c r="G207"/>
  <c r="T190"/>
  <c r="P190"/>
  <c r="D205"/>
  <c r="AK49"/>
  <c r="AQ49"/>
  <c r="AQ34"/>
  <c r="L236"/>
  <c r="M236" s="1"/>
  <c r="I221"/>
  <c r="K221" s="1"/>
  <c r="I216"/>
  <c r="L231"/>
  <c r="M231" s="1"/>
  <c r="I219"/>
  <c r="L234"/>
  <c r="M234" s="1"/>
  <c r="AN65"/>
  <c r="M65"/>
  <c r="AH65" s="1"/>
  <c r="K124"/>
  <c r="AP124"/>
  <c r="AI124"/>
  <c r="O124"/>
  <c r="AJ124" s="1"/>
  <c r="U178"/>
  <c r="H178"/>
  <c r="AN159"/>
  <c r="AP159"/>
  <c r="R159"/>
  <c r="M159"/>
  <c r="S159"/>
  <c r="AN188"/>
  <c r="S188"/>
  <c r="R188"/>
  <c r="M188"/>
  <c r="AH188" s="1"/>
  <c r="G138"/>
  <c r="D199"/>
  <c r="P184"/>
  <c r="T184"/>
  <c r="AO176"/>
  <c r="K176"/>
  <c r="AI176" s="1"/>
  <c r="W83"/>
  <c r="U263"/>
  <c r="W291"/>
  <c r="W230"/>
  <c r="W266"/>
  <c r="F251"/>
  <c r="W258"/>
  <c r="U138"/>
  <c r="P71"/>
  <c r="Q71" s="1"/>
  <c r="AQ71" s="1"/>
  <c r="W168"/>
  <c r="K191"/>
  <c r="AM138"/>
  <c r="U172"/>
  <c r="S67"/>
  <c r="AQ39"/>
  <c r="AQ33"/>
  <c r="S293"/>
  <c r="W293" s="1"/>
  <c r="Q296"/>
  <c r="C296"/>
  <c r="Q265"/>
  <c r="C265"/>
  <c r="O249"/>
  <c r="AJ249" s="1"/>
  <c r="S289"/>
  <c r="W289" s="1"/>
  <c r="S290"/>
  <c r="W290" s="1"/>
  <c r="C260"/>
  <c r="Q260"/>
  <c r="V246"/>
  <c r="G261"/>
  <c r="O221"/>
  <c r="AJ221" s="1"/>
  <c r="M218"/>
  <c r="AH218" s="1"/>
  <c r="R218"/>
  <c r="S218"/>
  <c r="S292"/>
  <c r="W292" s="1"/>
  <c r="S237"/>
  <c r="T237" s="1"/>
  <c r="L264"/>
  <c r="M264" s="1"/>
  <c r="I249"/>
  <c r="L295"/>
  <c r="M295" s="1"/>
  <c r="S170"/>
  <c r="W170" s="1"/>
  <c r="AO69"/>
  <c r="N69"/>
  <c r="AO187"/>
  <c r="N187"/>
  <c r="AI187" s="1"/>
  <c r="G187"/>
  <c r="S125"/>
  <c r="G57"/>
  <c r="AG57"/>
  <c r="AM57" s="1"/>
  <c r="H57"/>
  <c r="L57" s="1"/>
  <c r="M57" s="1"/>
  <c r="AO83"/>
  <c r="H78"/>
  <c r="H80"/>
  <c r="H82"/>
  <c r="H84"/>
  <c r="I83"/>
  <c r="AI83" s="1"/>
  <c r="H81"/>
  <c r="H88"/>
  <c r="H79"/>
  <c r="H86"/>
  <c r="H85"/>
  <c r="H87"/>
  <c r="AO189"/>
  <c r="N189"/>
  <c r="U140"/>
  <c r="AG140"/>
  <c r="AM140" s="1"/>
  <c r="T192"/>
  <c r="D207"/>
  <c r="P192"/>
  <c r="AP64"/>
  <c r="K64"/>
  <c r="O64"/>
  <c r="AJ64" s="1"/>
  <c r="R71"/>
  <c r="K193"/>
  <c r="AP193"/>
  <c r="O193"/>
  <c r="AJ193" s="1"/>
  <c r="AN185"/>
  <c r="R185"/>
  <c r="M185"/>
  <c r="AH185" s="1"/>
  <c r="S185"/>
  <c r="AO154"/>
  <c r="K154"/>
  <c r="O154"/>
  <c r="AJ154" s="1"/>
  <c r="T63"/>
  <c r="D78"/>
  <c r="I220"/>
  <c r="K220" s="1"/>
  <c r="L235"/>
  <c r="M235" s="1"/>
  <c r="L228"/>
  <c r="M228" s="1"/>
  <c r="I213"/>
  <c r="G139"/>
  <c r="K184"/>
  <c r="AP184"/>
  <c r="O184"/>
  <c r="AJ184" s="1"/>
  <c r="AN162"/>
  <c r="AP162"/>
  <c r="S162"/>
  <c r="M162"/>
  <c r="AH162" s="1"/>
  <c r="R162"/>
  <c r="AN160"/>
  <c r="R160"/>
  <c r="M157"/>
  <c r="AH157" s="1"/>
  <c r="AG50"/>
  <c r="AM50" s="1"/>
  <c r="H50"/>
  <c r="L50" s="1"/>
  <c r="M50" s="1"/>
  <c r="G50"/>
  <c r="AO56"/>
  <c r="I56"/>
  <c r="AI56" s="1"/>
  <c r="L56"/>
  <c r="M56" s="1"/>
  <c r="AQ43"/>
  <c r="AP72"/>
  <c r="K72"/>
  <c r="O72"/>
  <c r="AJ72" s="1"/>
  <c r="R126"/>
  <c r="M126"/>
  <c r="AH126" s="1"/>
  <c r="U177"/>
  <c r="H177"/>
  <c r="AO172"/>
  <c r="K172"/>
  <c r="AI172" s="1"/>
  <c r="AK85"/>
  <c r="AK70"/>
  <c r="AH278"/>
  <c r="G247"/>
  <c r="J233"/>
  <c r="W235"/>
  <c r="G250"/>
  <c r="U235"/>
  <c r="AQ63"/>
  <c r="W138"/>
  <c r="M233"/>
  <c r="W178"/>
  <c r="S70"/>
  <c r="P153"/>
  <c r="U143"/>
  <c r="G140"/>
  <c r="AQ54"/>
  <c r="H141"/>
  <c r="L54"/>
  <c r="M54" s="1"/>
  <c r="AQ55"/>
  <c r="T80"/>
  <c r="U80"/>
  <c r="U81"/>
  <c r="T81"/>
  <c r="W80"/>
  <c r="U79"/>
  <c r="T79"/>
  <c r="W81"/>
  <c r="T85"/>
  <c r="U85"/>
  <c r="W79"/>
  <c r="H110"/>
  <c r="L110" s="1"/>
  <c r="G110"/>
  <c r="K101"/>
  <c r="R101" s="1"/>
  <c r="G114"/>
  <c r="G108"/>
  <c r="W99"/>
  <c r="W101" s="1"/>
  <c r="W103" s="1"/>
  <c r="AO103"/>
  <c r="AP93"/>
  <c r="K95"/>
  <c r="AN95" s="1"/>
  <c r="AQ113"/>
  <c r="AQ116"/>
  <c r="AQ112"/>
  <c r="U117"/>
  <c r="AQ110"/>
  <c r="S113"/>
  <c r="P93"/>
  <c r="Q93" s="1"/>
  <c r="AK108" s="1"/>
  <c r="AO97"/>
  <c r="W102"/>
  <c r="O100"/>
  <c r="AJ100" s="1"/>
  <c r="AO99"/>
  <c r="AP95"/>
  <c r="N93"/>
  <c r="AI93" s="1"/>
  <c r="P97"/>
  <c r="Q97" s="1"/>
  <c r="AK97" s="1"/>
  <c r="AM117"/>
  <c r="AM114"/>
  <c r="AO96"/>
  <c r="K97"/>
  <c r="M97" s="1"/>
  <c r="AH97" s="1"/>
  <c r="G115"/>
  <c r="AM108"/>
  <c r="AM111"/>
  <c r="AM112"/>
  <c r="AM115"/>
  <c r="AM110"/>
  <c r="AP94"/>
  <c r="H114"/>
  <c r="L114" s="1"/>
  <c r="AP96"/>
  <c r="O103"/>
  <c r="AJ103" s="1"/>
  <c r="O101"/>
  <c r="AJ101" s="1"/>
  <c r="N100"/>
  <c r="AI100" s="1"/>
  <c r="O102"/>
  <c r="AJ102" s="1"/>
  <c r="P96"/>
  <c r="Q96" s="1"/>
  <c r="AK96" s="1"/>
  <c r="K96"/>
  <c r="AO101"/>
  <c r="K102"/>
  <c r="R102" s="1"/>
  <c r="N101"/>
  <c r="AI101" s="1"/>
  <c r="K99"/>
  <c r="S99" s="1"/>
  <c r="AP97"/>
  <c r="N99"/>
  <c r="O18" s="1"/>
  <c r="P101"/>
  <c r="Q101" s="1"/>
  <c r="AQ101" s="1"/>
  <c r="H115"/>
  <c r="AO115" s="1"/>
  <c r="P94"/>
  <c r="Q94" s="1"/>
  <c r="AK109" s="1"/>
  <c r="N103"/>
  <c r="AI103" s="1"/>
  <c r="L113"/>
  <c r="M113" s="1"/>
  <c r="K100"/>
  <c r="M100" s="1"/>
  <c r="AH100" s="1"/>
  <c r="P100"/>
  <c r="Q100" s="1"/>
  <c r="AK115" s="1"/>
  <c r="Q99"/>
  <c r="AK114" s="1"/>
  <c r="K94"/>
  <c r="S94" s="1"/>
  <c r="AO94"/>
  <c r="Q103"/>
  <c r="AQ98"/>
  <c r="AK98"/>
  <c r="AK113"/>
  <c r="I113"/>
  <c r="AI113" s="1"/>
  <c r="AO113"/>
  <c r="L108"/>
  <c r="M108" s="1"/>
  <c r="AO111"/>
  <c r="K113"/>
  <c r="I118"/>
  <c r="AI118" s="1"/>
  <c r="AO118"/>
  <c r="L118"/>
  <c r="K93"/>
  <c r="AN93" s="1"/>
  <c r="O99"/>
  <c r="AJ99" s="1"/>
  <c r="K103"/>
  <c r="M103" s="1"/>
  <c r="AH103" s="1"/>
  <c r="AO95"/>
  <c r="N95"/>
  <c r="AI95" s="1"/>
  <c r="AO117"/>
  <c r="I117"/>
  <c r="AI117" s="1"/>
  <c r="P95"/>
  <c r="Q95" s="1"/>
  <c r="AO112"/>
  <c r="L112"/>
  <c r="N102"/>
  <c r="AI102" s="1"/>
  <c r="AO102"/>
  <c r="I116"/>
  <c r="AI116" s="1"/>
  <c r="AO116"/>
  <c r="L117"/>
  <c r="H109"/>
  <c r="AG109"/>
  <c r="AM109" s="1"/>
  <c r="G109"/>
  <c r="P102"/>
  <c r="Q102" s="1"/>
  <c r="S115"/>
  <c r="W115" s="1"/>
  <c r="AQ115"/>
  <c r="C109"/>
  <c r="Q109"/>
  <c r="T108"/>
  <c r="U108"/>
  <c r="T110"/>
  <c r="U110"/>
  <c r="W108"/>
  <c r="Q118"/>
  <c r="C118"/>
  <c r="U116"/>
  <c r="T116"/>
  <c r="C114"/>
  <c r="Q114"/>
  <c r="AN33"/>
  <c r="M33"/>
  <c r="AH33" s="1"/>
  <c r="S33"/>
  <c r="R33"/>
  <c r="AJ39"/>
  <c r="S54"/>
  <c r="T54" s="1"/>
  <c r="S57"/>
  <c r="T57" s="1"/>
  <c r="AN38"/>
  <c r="M38"/>
  <c r="AH38" s="1"/>
  <c r="R38"/>
  <c r="S38"/>
  <c r="R34"/>
  <c r="S34"/>
  <c r="M34"/>
  <c r="AH34" s="1"/>
  <c r="AN34"/>
  <c r="M39"/>
  <c r="K42"/>
  <c r="AP42"/>
  <c r="O42"/>
  <c r="AJ42" s="1"/>
  <c r="Q48"/>
  <c r="C48"/>
  <c r="M40"/>
  <c r="AH40" s="1"/>
  <c r="R40"/>
  <c r="S35"/>
  <c r="M35"/>
  <c r="AH35" s="1"/>
  <c r="S52"/>
  <c r="T52" s="1"/>
  <c r="AN36"/>
  <c r="M36"/>
  <c r="AH36" s="1"/>
  <c r="S36"/>
  <c r="R36"/>
  <c r="AN43"/>
  <c r="S43"/>
  <c r="W58"/>
  <c r="R189" l="1"/>
  <c r="Q160"/>
  <c r="L175"/>
  <c r="M175" s="1"/>
  <c r="Q153"/>
  <c r="L168"/>
  <c r="M168" s="1"/>
  <c r="Q155"/>
  <c r="L170"/>
  <c r="M170" s="1"/>
  <c r="S157"/>
  <c r="M160"/>
  <c r="AH160" s="1"/>
  <c r="AN161"/>
  <c r="M156"/>
  <c r="AH156" s="1"/>
  <c r="Q156"/>
  <c r="L171"/>
  <c r="R157"/>
  <c r="AN157"/>
  <c r="AP160"/>
  <c r="AN156"/>
  <c r="Q162"/>
  <c r="L177"/>
  <c r="M177" s="1"/>
  <c r="Q163"/>
  <c r="T133"/>
  <c r="AK133" s="1"/>
  <c r="AK148" s="1"/>
  <c r="D148"/>
  <c r="H148" s="1"/>
  <c r="P133"/>
  <c r="D147"/>
  <c r="AN127"/>
  <c r="D145"/>
  <c r="H145" s="1"/>
  <c r="P130"/>
  <c r="T130"/>
  <c r="AK130" s="1"/>
  <c r="AK145" s="1"/>
  <c r="M37"/>
  <c r="AH37" s="1"/>
  <c r="M43"/>
  <c r="AH43" s="1"/>
  <c r="R35"/>
  <c r="AN40"/>
  <c r="AN39"/>
  <c r="AN41"/>
  <c r="I52"/>
  <c r="AI52" s="1"/>
  <c r="AQ35"/>
  <c r="AK51"/>
  <c r="I55"/>
  <c r="AI55" s="1"/>
  <c r="X53"/>
  <c r="M101"/>
  <c r="AH101" s="1"/>
  <c r="I108"/>
  <c r="AI108" s="1"/>
  <c r="AN153"/>
  <c r="AO175"/>
  <c r="S153"/>
  <c r="L294"/>
  <c r="M294" s="1"/>
  <c r="N293"/>
  <c r="I280"/>
  <c r="E280" s="1"/>
  <c r="I277"/>
  <c r="E277" s="1"/>
  <c r="H24" s="1"/>
  <c r="I282"/>
  <c r="E282" s="1"/>
  <c r="I274"/>
  <c r="E274" s="1"/>
  <c r="I276"/>
  <c r="E276" s="1"/>
  <c r="I281"/>
  <c r="E281" s="1"/>
  <c r="I283"/>
  <c r="E283" s="1"/>
  <c r="J279"/>
  <c r="O279" s="1"/>
  <c r="E294"/>
  <c r="H294" s="1"/>
  <c r="G279"/>
  <c r="V279" s="1"/>
  <c r="L288"/>
  <c r="M288" s="1"/>
  <c r="I273"/>
  <c r="N273" s="1"/>
  <c r="AI273" s="1"/>
  <c r="L290"/>
  <c r="M290" s="1"/>
  <c r="I275"/>
  <c r="N275" s="1"/>
  <c r="AI275" s="1"/>
  <c r="Q276"/>
  <c r="N276"/>
  <c r="Q281"/>
  <c r="N281"/>
  <c r="AI281" s="1"/>
  <c r="Q283"/>
  <c r="Q280"/>
  <c r="N280"/>
  <c r="Q273"/>
  <c r="Q275"/>
  <c r="Q277"/>
  <c r="Q282"/>
  <c r="Q279"/>
  <c r="I24" s="1"/>
  <c r="N279"/>
  <c r="AI279" s="1"/>
  <c r="Q274"/>
  <c r="N274"/>
  <c r="AI274" s="1"/>
  <c r="L292"/>
  <c r="M292" s="1"/>
  <c r="L298"/>
  <c r="M298" s="1"/>
  <c r="L296"/>
  <c r="M296" s="1"/>
  <c r="AJ279"/>
  <c r="N282"/>
  <c r="AI282" s="1"/>
  <c r="N277"/>
  <c r="AI249"/>
  <c r="N263"/>
  <c r="X263" s="1"/>
  <c r="M41"/>
  <c r="AH41" s="1"/>
  <c r="AK58"/>
  <c r="M71"/>
  <c r="AH71" s="1"/>
  <c r="G245"/>
  <c r="Q127"/>
  <c r="AN186"/>
  <c r="S129"/>
  <c r="AK56"/>
  <c r="U229"/>
  <c r="S41"/>
  <c r="W229"/>
  <c r="AQ58"/>
  <c r="AO146"/>
  <c r="M132"/>
  <c r="AH132" s="1"/>
  <c r="S186"/>
  <c r="S192"/>
  <c r="AN71"/>
  <c r="R128"/>
  <c r="K169"/>
  <c r="AI169" s="1"/>
  <c r="AQ86"/>
  <c r="S86"/>
  <c r="S201"/>
  <c r="AQ201"/>
  <c r="S146"/>
  <c r="AQ146"/>
  <c r="W204"/>
  <c r="S82"/>
  <c r="AQ82"/>
  <c r="Q133"/>
  <c r="M133"/>
  <c r="AH133" s="1"/>
  <c r="M127"/>
  <c r="AH127" s="1"/>
  <c r="AN187"/>
  <c r="K245"/>
  <c r="S37"/>
  <c r="R39"/>
  <c r="AO110"/>
  <c r="W84"/>
  <c r="T84"/>
  <c r="AN192"/>
  <c r="Q192"/>
  <c r="AQ192" s="1"/>
  <c r="K279"/>
  <c r="M279" s="1"/>
  <c r="Q184"/>
  <c r="AQ184" s="1"/>
  <c r="Q190"/>
  <c r="AQ190" s="1"/>
  <c r="Q131"/>
  <c r="Q125"/>
  <c r="M153"/>
  <c r="AH153" s="1"/>
  <c r="U204"/>
  <c r="AN189"/>
  <c r="AN131"/>
  <c r="AQ41"/>
  <c r="M128"/>
  <c r="AH128" s="1"/>
  <c r="M171"/>
  <c r="M173"/>
  <c r="M172"/>
  <c r="X172" s="1"/>
  <c r="M187"/>
  <c r="AH187" s="1"/>
  <c r="AQ51"/>
  <c r="Q132"/>
  <c r="M192"/>
  <c r="AH192" s="1"/>
  <c r="M125"/>
  <c r="AH125" s="1"/>
  <c r="Q123"/>
  <c r="I146"/>
  <c r="AI146" s="1"/>
  <c r="AN132"/>
  <c r="AP153"/>
  <c r="S189"/>
  <c r="P129"/>
  <c r="Q129" s="1"/>
  <c r="AN129"/>
  <c r="S128"/>
  <c r="AN126"/>
  <c r="AN125"/>
  <c r="Q130"/>
  <c r="AQ130" s="1"/>
  <c r="AN133"/>
  <c r="U199"/>
  <c r="M131"/>
  <c r="AH131" s="1"/>
  <c r="T129"/>
  <c r="J19" s="1"/>
  <c r="AN128"/>
  <c r="M178"/>
  <c r="L55"/>
  <c r="M55" s="1"/>
  <c r="AK40"/>
  <c r="D139"/>
  <c r="H139" s="1"/>
  <c r="L139" s="1"/>
  <c r="M139" s="1"/>
  <c r="P124"/>
  <c r="Q124" s="1"/>
  <c r="AQ124" s="1"/>
  <c r="T124"/>
  <c r="AK124" s="1"/>
  <c r="AK139" s="1"/>
  <c r="AQ131"/>
  <c r="O143"/>
  <c r="V143" s="1"/>
  <c r="N143"/>
  <c r="AQ123"/>
  <c r="S88"/>
  <c r="AQ88"/>
  <c r="S207"/>
  <c r="T207" s="1"/>
  <c r="AQ207"/>
  <c r="X83"/>
  <c r="Y85" s="1"/>
  <c r="AA85" s="1"/>
  <c r="AQ78"/>
  <c r="S78"/>
  <c r="AQ126"/>
  <c r="S87"/>
  <c r="AQ87"/>
  <c r="S142"/>
  <c r="AQ142"/>
  <c r="S228"/>
  <c r="W228" s="1"/>
  <c r="H147"/>
  <c r="L147" s="1"/>
  <c r="M147" s="1"/>
  <c r="O19"/>
  <c r="AI129"/>
  <c r="S144"/>
  <c r="AQ144"/>
  <c r="S148"/>
  <c r="AQ148"/>
  <c r="H142"/>
  <c r="L142" s="1"/>
  <c r="M142" s="1"/>
  <c r="S139"/>
  <c r="AQ139"/>
  <c r="AK35"/>
  <c r="AK50"/>
  <c r="AI39"/>
  <c r="O16"/>
  <c r="M73"/>
  <c r="AH73" s="1"/>
  <c r="K243"/>
  <c r="U198"/>
  <c r="U200"/>
  <c r="F259"/>
  <c r="H259" s="1"/>
  <c r="AN37"/>
  <c r="W52"/>
  <c r="T111"/>
  <c r="L140"/>
  <c r="M140" s="1"/>
  <c r="AN73"/>
  <c r="R65"/>
  <c r="X203"/>
  <c r="S161"/>
  <c r="AP161"/>
  <c r="U207"/>
  <c r="U202"/>
  <c r="U244"/>
  <c r="AK244" s="1"/>
  <c r="AK41"/>
  <c r="W268"/>
  <c r="AJ129"/>
  <c r="P19"/>
  <c r="T295"/>
  <c r="U295"/>
  <c r="L49"/>
  <c r="M49" s="1"/>
  <c r="I49"/>
  <c r="AI49" s="1"/>
  <c r="AO49"/>
  <c r="T185"/>
  <c r="P185"/>
  <c r="Q185" s="1"/>
  <c r="AQ185" s="1"/>
  <c r="D200"/>
  <c r="H200" s="1"/>
  <c r="AO200" s="1"/>
  <c r="S73"/>
  <c r="W237"/>
  <c r="K253"/>
  <c r="S253" s="1"/>
  <c r="U205"/>
  <c r="U111"/>
  <c r="I111"/>
  <c r="AI111" s="1"/>
  <c r="AQ111"/>
  <c r="Y79"/>
  <c r="U206"/>
  <c r="W231"/>
  <c r="AQ168"/>
  <c r="AQ153"/>
  <c r="AK153"/>
  <c r="AK168"/>
  <c r="M220"/>
  <c r="AH220" s="1"/>
  <c r="S220"/>
  <c r="R220"/>
  <c r="Y173"/>
  <c r="AA173" s="1"/>
  <c r="X177"/>
  <c r="X168"/>
  <c r="X171"/>
  <c r="X176"/>
  <c r="X170"/>
  <c r="X175"/>
  <c r="X169"/>
  <c r="X174"/>
  <c r="X178"/>
  <c r="V247"/>
  <c r="G262"/>
  <c r="AN72"/>
  <c r="M72"/>
  <c r="AH72" s="1"/>
  <c r="S72"/>
  <c r="R72"/>
  <c r="AO139"/>
  <c r="AO140"/>
  <c r="I140"/>
  <c r="AI140" s="1"/>
  <c r="AO79"/>
  <c r="I79"/>
  <c r="AI79" s="1"/>
  <c r="AO84"/>
  <c r="I84"/>
  <c r="D202"/>
  <c r="P187"/>
  <c r="Q187" s="1"/>
  <c r="AQ187" s="1"/>
  <c r="T187"/>
  <c r="AI280"/>
  <c r="T292"/>
  <c r="U292"/>
  <c r="T289"/>
  <c r="U289"/>
  <c r="S279"/>
  <c r="S265"/>
  <c r="T265" s="1"/>
  <c r="F266"/>
  <c r="G251"/>
  <c r="U251"/>
  <c r="AK190"/>
  <c r="AK205"/>
  <c r="AK73"/>
  <c r="AK88"/>
  <c r="AK249"/>
  <c r="AK264"/>
  <c r="AO170"/>
  <c r="K170"/>
  <c r="AI170" s="1"/>
  <c r="AN163"/>
  <c r="AP163"/>
  <c r="R163"/>
  <c r="S163"/>
  <c r="M163"/>
  <c r="AH163" s="1"/>
  <c r="H144"/>
  <c r="L144" s="1"/>
  <c r="M144" s="1"/>
  <c r="AQ176"/>
  <c r="AQ161"/>
  <c r="AK176"/>
  <c r="AK161"/>
  <c r="AQ172"/>
  <c r="AQ157"/>
  <c r="AK172"/>
  <c r="AK157"/>
  <c r="AQ169"/>
  <c r="AQ154"/>
  <c r="AK169"/>
  <c r="AK154"/>
  <c r="D208"/>
  <c r="P193"/>
  <c r="Q193" s="1"/>
  <c r="AQ193" s="1"/>
  <c r="T193"/>
  <c r="AK253"/>
  <c r="AK268"/>
  <c r="N222"/>
  <c r="AI222" s="1"/>
  <c r="D222"/>
  <c r="T222" s="1"/>
  <c r="K222"/>
  <c r="AN190"/>
  <c r="M190"/>
  <c r="AH190" s="1"/>
  <c r="S190"/>
  <c r="R190"/>
  <c r="AI250"/>
  <c r="K250"/>
  <c r="U261"/>
  <c r="H261"/>
  <c r="AK258"/>
  <c r="AK243"/>
  <c r="AK189"/>
  <c r="AK204"/>
  <c r="J21"/>
  <c r="M95"/>
  <c r="AH95" s="1"/>
  <c r="AQ125"/>
  <c r="AQ127"/>
  <c r="W264"/>
  <c r="U237"/>
  <c r="V250"/>
  <c r="G265"/>
  <c r="O233"/>
  <c r="V233" s="1"/>
  <c r="N233"/>
  <c r="AK63"/>
  <c r="AK78"/>
  <c r="AI189"/>
  <c r="O21"/>
  <c r="AO86"/>
  <c r="I86"/>
  <c r="AI86" s="1"/>
  <c r="AO78"/>
  <c r="I78"/>
  <c r="AI78" s="1"/>
  <c r="AI69"/>
  <c r="O17"/>
  <c r="T293"/>
  <c r="V293" s="1"/>
  <c r="X293" s="1"/>
  <c r="U293"/>
  <c r="AO145"/>
  <c r="I145"/>
  <c r="AI145" s="1"/>
  <c r="L145"/>
  <c r="M145" s="1"/>
  <c r="H199"/>
  <c r="L199" s="1"/>
  <c r="M199" s="1"/>
  <c r="X199" s="1"/>
  <c r="N219"/>
  <c r="D219"/>
  <c r="T219" s="1"/>
  <c r="T175"/>
  <c r="U175"/>
  <c r="AK260"/>
  <c r="AK245"/>
  <c r="U264"/>
  <c r="H264"/>
  <c r="T234"/>
  <c r="U234"/>
  <c r="S298"/>
  <c r="W298" s="1"/>
  <c r="M246"/>
  <c r="AH246" s="1"/>
  <c r="R246"/>
  <c r="T64"/>
  <c r="D79"/>
  <c r="P64"/>
  <c r="Q64" s="1"/>
  <c r="AQ64" s="1"/>
  <c r="D82"/>
  <c r="T67"/>
  <c r="P67"/>
  <c r="Q67" s="1"/>
  <c r="AQ67" s="1"/>
  <c r="N215"/>
  <c r="AI215" s="1"/>
  <c r="D215"/>
  <c r="T215" s="1"/>
  <c r="AN66"/>
  <c r="R66"/>
  <c r="M66"/>
  <c r="AH66" s="1"/>
  <c r="S66"/>
  <c r="AQ177"/>
  <c r="AQ162"/>
  <c r="AK177"/>
  <c r="AK162"/>
  <c r="AQ174"/>
  <c r="AQ159"/>
  <c r="AK159"/>
  <c r="AK174"/>
  <c r="I20"/>
  <c r="N19"/>
  <c r="AH129"/>
  <c r="AJ219"/>
  <c r="U268"/>
  <c r="H268"/>
  <c r="AK265"/>
  <c r="AK250"/>
  <c r="AL249"/>
  <c r="AL264"/>
  <c r="AN69"/>
  <c r="M69"/>
  <c r="S69"/>
  <c r="R69"/>
  <c r="AO168"/>
  <c r="K168"/>
  <c r="AI168" s="1"/>
  <c r="AN130"/>
  <c r="R130"/>
  <c r="S130"/>
  <c r="M130"/>
  <c r="AH130" s="1"/>
  <c r="AK65"/>
  <c r="AK80"/>
  <c r="F267"/>
  <c r="U252"/>
  <c r="G252"/>
  <c r="T232"/>
  <c r="U232"/>
  <c r="H258"/>
  <c r="U258"/>
  <c r="AK262"/>
  <c r="AK247"/>
  <c r="S297"/>
  <c r="W297" s="1"/>
  <c r="I21"/>
  <c r="AQ189"/>
  <c r="AK69"/>
  <c r="AK84"/>
  <c r="J17"/>
  <c r="S246"/>
  <c r="AO141"/>
  <c r="I141"/>
  <c r="AI141" s="1"/>
  <c r="AO177"/>
  <c r="K177"/>
  <c r="AI177" s="1"/>
  <c r="AO50"/>
  <c r="I50"/>
  <c r="AI50" s="1"/>
  <c r="AN184"/>
  <c r="M184"/>
  <c r="AH184" s="1"/>
  <c r="R184"/>
  <c r="S184"/>
  <c r="N213"/>
  <c r="AI213" s="1"/>
  <c r="D213"/>
  <c r="T213" s="1"/>
  <c r="AN64"/>
  <c r="M64"/>
  <c r="AH64" s="1"/>
  <c r="S64"/>
  <c r="R64"/>
  <c r="AK207"/>
  <c r="AK192"/>
  <c r="AO85"/>
  <c r="I85"/>
  <c r="AI85" s="1"/>
  <c r="AO81"/>
  <c r="I81"/>
  <c r="AI81" s="1"/>
  <c r="AO80"/>
  <c r="I80"/>
  <c r="AI80" s="1"/>
  <c r="AO57"/>
  <c r="I57"/>
  <c r="AI57" s="1"/>
  <c r="T170"/>
  <c r="U170"/>
  <c r="T238"/>
  <c r="U238"/>
  <c r="M221"/>
  <c r="AH221" s="1"/>
  <c r="R221"/>
  <c r="S221"/>
  <c r="S260"/>
  <c r="T260" s="1"/>
  <c r="S296"/>
  <c r="W296" s="1"/>
  <c r="AN124"/>
  <c r="S124"/>
  <c r="R124"/>
  <c r="M124"/>
  <c r="AH124" s="1"/>
  <c r="N221"/>
  <c r="AI221" s="1"/>
  <c r="D221"/>
  <c r="T221" s="1"/>
  <c r="H205"/>
  <c r="L205" s="1"/>
  <c r="M205" s="1"/>
  <c r="X205" s="1"/>
  <c r="AI276"/>
  <c r="H260"/>
  <c r="M217"/>
  <c r="S217"/>
  <c r="R217"/>
  <c r="T72"/>
  <c r="D87"/>
  <c r="P72"/>
  <c r="Q72" s="1"/>
  <c r="AQ72" s="1"/>
  <c r="Y203"/>
  <c r="AA203" s="1"/>
  <c r="AQ129"/>
  <c r="I19"/>
  <c r="AI174"/>
  <c r="R20"/>
  <c r="AN123"/>
  <c r="S123"/>
  <c r="R123"/>
  <c r="AH123"/>
  <c r="T186"/>
  <c r="D201"/>
  <c r="P186"/>
  <c r="Q186" s="1"/>
  <c r="AQ186" s="1"/>
  <c r="AK86"/>
  <c r="AK71"/>
  <c r="N21"/>
  <c r="AH189"/>
  <c r="AQ178"/>
  <c r="AQ163"/>
  <c r="AK178"/>
  <c r="AK163"/>
  <c r="AQ170"/>
  <c r="AQ155"/>
  <c r="AK155"/>
  <c r="AK170"/>
  <c r="H265"/>
  <c r="U265"/>
  <c r="M244"/>
  <c r="AH244" s="1"/>
  <c r="R244"/>
  <c r="D206"/>
  <c r="P191"/>
  <c r="Q191" s="1"/>
  <c r="AQ191" s="1"/>
  <c r="T191"/>
  <c r="AI54"/>
  <c r="R16"/>
  <c r="AN183"/>
  <c r="M183"/>
  <c r="AH183" s="1"/>
  <c r="R183"/>
  <c r="S183"/>
  <c r="N223"/>
  <c r="AI223" s="1"/>
  <c r="D223"/>
  <c r="T223" s="1"/>
  <c r="D198"/>
  <c r="P183"/>
  <c r="Q183" s="1"/>
  <c r="AQ183" s="1"/>
  <c r="T183"/>
  <c r="H262"/>
  <c r="U262"/>
  <c r="AK81"/>
  <c r="AK66"/>
  <c r="L200"/>
  <c r="M200" s="1"/>
  <c r="X200" s="1"/>
  <c r="W175"/>
  <c r="AQ132"/>
  <c r="AQ133"/>
  <c r="K219"/>
  <c r="AO138"/>
  <c r="I138"/>
  <c r="AI138" s="1"/>
  <c r="N220"/>
  <c r="AI220" s="1"/>
  <c r="D220"/>
  <c r="T220" s="1"/>
  <c r="AN154"/>
  <c r="AP154"/>
  <c r="S154"/>
  <c r="M154"/>
  <c r="AH154" s="1"/>
  <c r="R154"/>
  <c r="AN193"/>
  <c r="M193"/>
  <c r="AH193" s="1"/>
  <c r="R193"/>
  <c r="S193"/>
  <c r="H207"/>
  <c r="L207" s="1"/>
  <c r="M207" s="1"/>
  <c r="X207" s="1"/>
  <c r="AO87"/>
  <c r="I87"/>
  <c r="AI87" s="1"/>
  <c r="AO88"/>
  <c r="I88"/>
  <c r="AI88" s="1"/>
  <c r="AO82"/>
  <c r="I82"/>
  <c r="AI82" s="1"/>
  <c r="AL246"/>
  <c r="AL261"/>
  <c r="T290"/>
  <c r="U290"/>
  <c r="AN191"/>
  <c r="M191"/>
  <c r="AH191" s="1"/>
  <c r="S191"/>
  <c r="R191"/>
  <c r="AK184"/>
  <c r="AK199"/>
  <c r="AH159"/>
  <c r="N20"/>
  <c r="AO178"/>
  <c r="K178"/>
  <c r="AI178" s="1"/>
  <c r="N216"/>
  <c r="AI216" s="1"/>
  <c r="D216"/>
  <c r="T216" s="1"/>
  <c r="K216"/>
  <c r="T169"/>
  <c r="U169"/>
  <c r="G260"/>
  <c r="V245"/>
  <c r="M215"/>
  <c r="AH215" s="1"/>
  <c r="R215"/>
  <c r="S215"/>
  <c r="AL243"/>
  <c r="AL258"/>
  <c r="N217"/>
  <c r="D217"/>
  <c r="T217" s="1"/>
  <c r="AQ171"/>
  <c r="AQ156"/>
  <c r="AK156"/>
  <c r="AK171"/>
  <c r="AQ158"/>
  <c r="AQ173"/>
  <c r="AK173"/>
  <c r="AK158"/>
  <c r="AQ175"/>
  <c r="AQ160"/>
  <c r="AK160"/>
  <c r="AK175"/>
  <c r="M223"/>
  <c r="AH223" s="1"/>
  <c r="R223"/>
  <c r="S223"/>
  <c r="V244"/>
  <c r="G259"/>
  <c r="AL268"/>
  <c r="AL253"/>
  <c r="M247"/>
  <c r="AH247" s="1"/>
  <c r="R247"/>
  <c r="AN63"/>
  <c r="M63"/>
  <c r="AH63" s="1"/>
  <c r="R63"/>
  <c r="S63"/>
  <c r="N214"/>
  <c r="AI214" s="1"/>
  <c r="D214"/>
  <c r="T214" s="1"/>
  <c r="K214"/>
  <c r="AI252"/>
  <c r="K252"/>
  <c r="AK261"/>
  <c r="AK246"/>
  <c r="T236"/>
  <c r="U236"/>
  <c r="H204"/>
  <c r="L204" s="1"/>
  <c r="M204" s="1"/>
  <c r="X204" s="1"/>
  <c r="AQ69"/>
  <c r="I17"/>
  <c r="K249"/>
  <c r="K251"/>
  <c r="S251" s="1"/>
  <c r="L141"/>
  <c r="M141" s="1"/>
  <c r="W259"/>
  <c r="K213"/>
  <c r="U231"/>
  <c r="S247"/>
  <c r="S95"/>
  <c r="I110"/>
  <c r="AI110" s="1"/>
  <c r="R95"/>
  <c r="AN101"/>
  <c r="S101"/>
  <c r="R99"/>
  <c r="AK111"/>
  <c r="AQ96"/>
  <c r="AK101"/>
  <c r="AK116"/>
  <c r="R97"/>
  <c r="S97"/>
  <c r="T113"/>
  <c r="W113"/>
  <c r="U113"/>
  <c r="S103"/>
  <c r="S102"/>
  <c r="M112"/>
  <c r="AK94"/>
  <c r="M117"/>
  <c r="AQ94"/>
  <c r="M118"/>
  <c r="M114"/>
  <c r="AN97"/>
  <c r="I18"/>
  <c r="M110"/>
  <c r="I114"/>
  <c r="AI114" s="1"/>
  <c r="AI99"/>
  <c r="L115"/>
  <c r="M115" s="1"/>
  <c r="AO114"/>
  <c r="AN103"/>
  <c r="AN102"/>
  <c r="R103"/>
  <c r="M102"/>
  <c r="AH102" s="1"/>
  <c r="M99"/>
  <c r="N18" s="1"/>
  <c r="R93"/>
  <c r="AN99"/>
  <c r="S93"/>
  <c r="M93"/>
  <c r="AH93" s="1"/>
  <c r="M96"/>
  <c r="AH96" s="1"/>
  <c r="AN96"/>
  <c r="R96"/>
  <c r="S96"/>
  <c r="M94"/>
  <c r="AH94" s="1"/>
  <c r="P18"/>
  <c r="I115"/>
  <c r="AI115" s="1"/>
  <c r="AK93"/>
  <c r="AQ93"/>
  <c r="AN94"/>
  <c r="AN100"/>
  <c r="R100"/>
  <c r="M116"/>
  <c r="R94"/>
  <c r="M111"/>
  <c r="S100"/>
  <c r="AK112"/>
  <c r="AQ97"/>
  <c r="AK99"/>
  <c r="AQ99"/>
  <c r="AQ100"/>
  <c r="AK100"/>
  <c r="O113"/>
  <c r="N113"/>
  <c r="AK103"/>
  <c r="AQ103"/>
  <c r="AK118"/>
  <c r="AQ102"/>
  <c r="AK102"/>
  <c r="AK117"/>
  <c r="AQ95"/>
  <c r="AK95"/>
  <c r="AK110"/>
  <c r="AO109"/>
  <c r="I109"/>
  <c r="AI109" s="1"/>
  <c r="L109"/>
  <c r="M109" s="1"/>
  <c r="S118"/>
  <c r="W118" s="1"/>
  <c r="AQ118"/>
  <c r="S114"/>
  <c r="W114" s="1"/>
  <c r="AQ114"/>
  <c r="S109"/>
  <c r="AQ109"/>
  <c r="U115"/>
  <c r="T115"/>
  <c r="Y53"/>
  <c r="AA53" s="1"/>
  <c r="M42"/>
  <c r="AH42" s="1"/>
  <c r="AN42"/>
  <c r="S42"/>
  <c r="R42"/>
  <c r="S48"/>
  <c r="T48" s="1"/>
  <c r="N16"/>
  <c r="AH39"/>
  <c r="W57"/>
  <c r="W54"/>
  <c r="AI277" l="1"/>
  <c r="O24"/>
  <c r="K294"/>
  <c r="AI294" s="1"/>
  <c r="X292"/>
  <c r="X288"/>
  <c r="X298"/>
  <c r="X290"/>
  <c r="X289"/>
  <c r="X297"/>
  <c r="X296"/>
  <c r="X291"/>
  <c r="X295"/>
  <c r="X294"/>
  <c r="AJ20"/>
  <c r="AF20"/>
  <c r="L148"/>
  <c r="M148" s="1"/>
  <c r="AO148"/>
  <c r="I148"/>
  <c r="AI148" s="1"/>
  <c r="I139"/>
  <c r="AI139" s="1"/>
  <c r="AF16"/>
  <c r="AJ16"/>
  <c r="AH217"/>
  <c r="N22"/>
  <c r="AI217"/>
  <c r="O22"/>
  <c r="N283"/>
  <c r="AI283" s="1"/>
  <c r="E291"/>
  <c r="H291" s="1"/>
  <c r="G276"/>
  <c r="V276" s="1"/>
  <c r="J276"/>
  <c r="O276" s="1"/>
  <c r="J280"/>
  <c r="O280" s="1"/>
  <c r="E295"/>
  <c r="H295" s="1"/>
  <c r="G280"/>
  <c r="V280" s="1"/>
  <c r="J281"/>
  <c r="O281" s="1"/>
  <c r="E296"/>
  <c r="H296" s="1"/>
  <c r="G281"/>
  <c r="V281" s="1"/>
  <c r="G277"/>
  <c r="V277" s="1"/>
  <c r="E292"/>
  <c r="H292" s="1"/>
  <c r="J277"/>
  <c r="O277" s="1"/>
  <c r="P24" s="1"/>
  <c r="J283"/>
  <c r="O283" s="1"/>
  <c r="E298"/>
  <c r="H298" s="1"/>
  <c r="G283"/>
  <c r="J282"/>
  <c r="O282" s="1"/>
  <c r="E297"/>
  <c r="H297" s="1"/>
  <c r="G282"/>
  <c r="V282" s="1"/>
  <c r="E289"/>
  <c r="H289" s="1"/>
  <c r="G274"/>
  <c r="V274" s="1"/>
  <c r="J274"/>
  <c r="O274" s="1"/>
  <c r="E273"/>
  <c r="E275"/>
  <c r="G294"/>
  <c r="Y289"/>
  <c r="Y288"/>
  <c r="X265"/>
  <c r="X267"/>
  <c r="X266"/>
  <c r="AH279"/>
  <c r="M253"/>
  <c r="AH253" s="1"/>
  <c r="R279"/>
  <c r="R253"/>
  <c r="I200"/>
  <c r="AI200" s="1"/>
  <c r="X259"/>
  <c r="Y259" s="1"/>
  <c r="AA259" s="1"/>
  <c r="X261"/>
  <c r="X264"/>
  <c r="X268"/>
  <c r="Y268" s="1"/>
  <c r="AA268" s="1"/>
  <c r="X260"/>
  <c r="AK259"/>
  <c r="X262"/>
  <c r="X258"/>
  <c r="Y263"/>
  <c r="AA263" s="1"/>
  <c r="Y292"/>
  <c r="AA292" s="1"/>
  <c r="AK129"/>
  <c r="AK144" s="1"/>
  <c r="Y294"/>
  <c r="AA294" s="1"/>
  <c r="Y295"/>
  <c r="AA295" s="1"/>
  <c r="W201"/>
  <c r="T201"/>
  <c r="W146"/>
  <c r="T146"/>
  <c r="U146"/>
  <c r="W86"/>
  <c r="T86"/>
  <c r="U86"/>
  <c r="Z79"/>
  <c r="AA79"/>
  <c r="Y86"/>
  <c r="M245"/>
  <c r="AH245" s="1"/>
  <c r="R245"/>
  <c r="S245"/>
  <c r="U259"/>
  <c r="Y83"/>
  <c r="T82"/>
  <c r="U82"/>
  <c r="Y82" s="1"/>
  <c r="W82"/>
  <c r="X144"/>
  <c r="X139"/>
  <c r="Y139" s="1"/>
  <c r="AA139" s="1"/>
  <c r="Z173"/>
  <c r="AB173" s="1"/>
  <c r="X143"/>
  <c r="X141"/>
  <c r="Y141" s="1"/>
  <c r="AA141" s="1"/>
  <c r="U260"/>
  <c r="T88"/>
  <c r="U88"/>
  <c r="W88"/>
  <c r="W142"/>
  <c r="T142"/>
  <c r="U142"/>
  <c r="Y80"/>
  <c r="Y81"/>
  <c r="Z81" s="1"/>
  <c r="Y84"/>
  <c r="Z84" s="1"/>
  <c r="W260"/>
  <c r="W87"/>
  <c r="T87"/>
  <c r="U87"/>
  <c r="Y87" s="1"/>
  <c r="W78"/>
  <c r="T78"/>
  <c r="U78"/>
  <c r="W207"/>
  <c r="AK200"/>
  <c r="AK185"/>
  <c r="W139"/>
  <c r="T139"/>
  <c r="U139"/>
  <c r="W148"/>
  <c r="T148"/>
  <c r="U148"/>
  <c r="W144"/>
  <c r="T144"/>
  <c r="U144"/>
  <c r="T228"/>
  <c r="U228"/>
  <c r="R243"/>
  <c r="S243"/>
  <c r="M243"/>
  <c r="AH243" s="1"/>
  <c r="I142"/>
  <c r="AI142" s="1"/>
  <c r="AO142"/>
  <c r="I147"/>
  <c r="AI147" s="1"/>
  <c r="AO147"/>
  <c r="Y204"/>
  <c r="AA204" s="1"/>
  <c r="Y207"/>
  <c r="AA207" s="1"/>
  <c r="Y199"/>
  <c r="AA199" s="1"/>
  <c r="Y200"/>
  <c r="AA200" s="1"/>
  <c r="Y205"/>
  <c r="AA205" s="1"/>
  <c r="Y293"/>
  <c r="AA293" s="1"/>
  <c r="M252"/>
  <c r="AH252" s="1"/>
  <c r="R252"/>
  <c r="AL244"/>
  <c r="AL259"/>
  <c r="D232"/>
  <c r="H232" s="1"/>
  <c r="D231"/>
  <c r="H231" s="1"/>
  <c r="M213"/>
  <c r="AH213" s="1"/>
  <c r="S213"/>
  <c r="R213"/>
  <c r="M249"/>
  <c r="R249"/>
  <c r="S249"/>
  <c r="AO204"/>
  <c r="I204"/>
  <c r="D229"/>
  <c r="H229" s="1"/>
  <c r="AL245"/>
  <c r="AL260"/>
  <c r="M216"/>
  <c r="AH216" s="1"/>
  <c r="R216"/>
  <c r="S216"/>
  <c r="AK198"/>
  <c r="AK183"/>
  <c r="AK201"/>
  <c r="AK186"/>
  <c r="D228"/>
  <c r="H228" s="1"/>
  <c r="D230"/>
  <c r="H230" s="1"/>
  <c r="AI219"/>
  <c r="M250"/>
  <c r="AH250" s="1"/>
  <c r="R250"/>
  <c r="S250"/>
  <c r="M222"/>
  <c r="AH222" s="1"/>
  <c r="R222"/>
  <c r="S222"/>
  <c r="Y291"/>
  <c r="AA291" s="1"/>
  <c r="Y265"/>
  <c r="Z265" s="1"/>
  <c r="Y175"/>
  <c r="AA175" s="1"/>
  <c r="Y168"/>
  <c r="AA168" s="1"/>
  <c r="Z53"/>
  <c r="AB53" s="1"/>
  <c r="AC53" s="1"/>
  <c r="AH53" s="1"/>
  <c r="V113"/>
  <c r="S252"/>
  <c r="X233"/>
  <c r="W265"/>
  <c r="Z263"/>
  <c r="AB263" s="1"/>
  <c r="M251"/>
  <c r="AH251" s="1"/>
  <c r="R251"/>
  <c r="M214"/>
  <c r="AH214" s="1"/>
  <c r="R214"/>
  <c r="S214"/>
  <c r="D235"/>
  <c r="H235" s="1"/>
  <c r="D238"/>
  <c r="H238" s="1"/>
  <c r="AK191"/>
  <c r="AK206"/>
  <c r="H201"/>
  <c r="AK72"/>
  <c r="AK87"/>
  <c r="D236"/>
  <c r="H236" s="1"/>
  <c r="U267"/>
  <c r="H267"/>
  <c r="AH69"/>
  <c r="N17"/>
  <c r="AK67"/>
  <c r="AK82"/>
  <c r="AK79"/>
  <c r="AK64"/>
  <c r="T298"/>
  <c r="U298"/>
  <c r="D234"/>
  <c r="H234" s="1"/>
  <c r="AL250"/>
  <c r="AL265"/>
  <c r="H208"/>
  <c r="L208" s="1"/>
  <c r="M208" s="1"/>
  <c r="X208" s="1"/>
  <c r="U266"/>
  <c r="Y266" s="1"/>
  <c r="H266"/>
  <c r="AK187"/>
  <c r="AK202"/>
  <c r="Y261"/>
  <c r="AA261" s="1"/>
  <c r="Y264"/>
  <c r="AA264" s="1"/>
  <c r="Y169"/>
  <c r="AA169" s="1"/>
  <c r="Y171"/>
  <c r="AA171" s="1"/>
  <c r="AN173"/>
  <c r="AD173"/>
  <c r="AP173" s="1"/>
  <c r="AC173"/>
  <c r="AH173" s="1"/>
  <c r="AE173"/>
  <c r="AJ173" s="1"/>
  <c r="Z203"/>
  <c r="AB203" s="1"/>
  <c r="H198"/>
  <c r="K259"/>
  <c r="AI259" s="1"/>
  <c r="AK267"/>
  <c r="AK252"/>
  <c r="K261"/>
  <c r="AI261" s="1"/>
  <c r="G266"/>
  <c r="V251"/>
  <c r="R17"/>
  <c r="AF17" s="1"/>
  <c r="AI84"/>
  <c r="AL262"/>
  <c r="AL247"/>
  <c r="Y262"/>
  <c r="AA262" s="1"/>
  <c r="Y258"/>
  <c r="AA258" s="1"/>
  <c r="Y174"/>
  <c r="AA174" s="1"/>
  <c r="Y176"/>
  <c r="AA176" s="1"/>
  <c r="Y172"/>
  <c r="AA172" s="1"/>
  <c r="AO207"/>
  <c r="I207"/>
  <c r="AI207" s="1"/>
  <c r="M219"/>
  <c r="R219"/>
  <c r="S219"/>
  <c r="K262"/>
  <c r="AI262" s="1"/>
  <c r="H206"/>
  <c r="K265"/>
  <c r="AI265" s="1"/>
  <c r="K260"/>
  <c r="AI260" s="1"/>
  <c r="AO205"/>
  <c r="I205"/>
  <c r="T296"/>
  <c r="U296"/>
  <c r="T297"/>
  <c r="U297"/>
  <c r="K258"/>
  <c r="AI258" s="1"/>
  <c r="V252"/>
  <c r="G267"/>
  <c r="K268"/>
  <c r="AI268" s="1"/>
  <c r="K264"/>
  <c r="AI264" s="1"/>
  <c r="AO199"/>
  <c r="I199"/>
  <c r="AI199" s="1"/>
  <c r="D237"/>
  <c r="H237" s="1"/>
  <c r="AK193"/>
  <c r="AK208"/>
  <c r="AO144"/>
  <c r="I144"/>
  <c r="AK266"/>
  <c r="AK251"/>
  <c r="H202"/>
  <c r="Y290"/>
  <c r="Y178"/>
  <c r="AA178" s="1"/>
  <c r="Y170"/>
  <c r="AA170" s="1"/>
  <c r="Y177"/>
  <c r="AA177" s="1"/>
  <c r="Z85"/>
  <c r="AB85" s="1"/>
  <c r="Z86"/>
  <c r="R18"/>
  <c r="AH99"/>
  <c r="X113"/>
  <c r="X109" s="1"/>
  <c r="U109"/>
  <c r="T109"/>
  <c r="U118"/>
  <c r="T118"/>
  <c r="U114"/>
  <c r="T114"/>
  <c r="W109"/>
  <c r="Y54"/>
  <c r="AA54" s="1"/>
  <c r="Y57"/>
  <c r="AA57" s="1"/>
  <c r="Y52"/>
  <c r="AA52" s="1"/>
  <c r="Y49"/>
  <c r="AA49" s="1"/>
  <c r="Y55"/>
  <c r="AA55" s="1"/>
  <c r="W48"/>
  <c r="Y50"/>
  <c r="AA50" s="1"/>
  <c r="Y51"/>
  <c r="AA51" s="1"/>
  <c r="Y48"/>
  <c r="AA48" s="1"/>
  <c r="Y58"/>
  <c r="AA58" s="1"/>
  <c r="Y56"/>
  <c r="AA56" s="1"/>
  <c r="AB79" l="1"/>
  <c r="AE79" s="1"/>
  <c r="AJ79" s="1"/>
  <c r="AI298"/>
  <c r="K298"/>
  <c r="K289"/>
  <c r="AI289" s="1"/>
  <c r="AI292"/>
  <c r="K292"/>
  <c r="R24" s="1"/>
  <c r="AI296"/>
  <c r="K296"/>
  <c r="K297"/>
  <c r="AI297" s="1"/>
  <c r="K295"/>
  <c r="AI295" s="1"/>
  <c r="AI291"/>
  <c r="K291"/>
  <c r="AA289"/>
  <c r="AJ18"/>
  <c r="AF18"/>
  <c r="AJ274"/>
  <c r="K274"/>
  <c r="AJ283"/>
  <c r="K283"/>
  <c r="G296"/>
  <c r="J273"/>
  <c r="O273" s="1"/>
  <c r="G273"/>
  <c r="V273" s="1"/>
  <c r="E288"/>
  <c r="H288" s="1"/>
  <c r="G297"/>
  <c r="G292"/>
  <c r="G295"/>
  <c r="G291"/>
  <c r="AA288"/>
  <c r="E290"/>
  <c r="H290" s="1"/>
  <c r="G275"/>
  <c r="V275" s="1"/>
  <c r="J275"/>
  <c r="O275" s="1"/>
  <c r="V283"/>
  <c r="G298"/>
  <c r="AJ281"/>
  <c r="K281"/>
  <c r="AJ276"/>
  <c r="K276"/>
  <c r="G289"/>
  <c r="AJ282"/>
  <c r="K282"/>
  <c r="AJ277"/>
  <c r="K277"/>
  <c r="AJ280"/>
  <c r="K280"/>
  <c r="AL279"/>
  <c r="AL294"/>
  <c r="Y296"/>
  <c r="Z296" s="1"/>
  <c r="AH249"/>
  <c r="Y267"/>
  <c r="AA267" s="1"/>
  <c r="Y260"/>
  <c r="Y298"/>
  <c r="Z298" s="1"/>
  <c r="Y297"/>
  <c r="AA297" s="1"/>
  <c r="Y144"/>
  <c r="AA144" s="1"/>
  <c r="AA260"/>
  <c r="AA86"/>
  <c r="AB86" s="1"/>
  <c r="AA82"/>
  <c r="Z82"/>
  <c r="AA83"/>
  <c r="Z83"/>
  <c r="AA84"/>
  <c r="AB84" s="1"/>
  <c r="AE84" s="1"/>
  <c r="AA81"/>
  <c r="AB81" s="1"/>
  <c r="Z57"/>
  <c r="AB57" s="1"/>
  <c r="AN57" s="1"/>
  <c r="Y78"/>
  <c r="Z78" s="1"/>
  <c r="Z204"/>
  <c r="AB204" s="1"/>
  <c r="AE204" s="1"/>
  <c r="X142"/>
  <c r="Y142" s="1"/>
  <c r="AA142" s="1"/>
  <c r="X148"/>
  <c r="Y148" s="1"/>
  <c r="X140"/>
  <c r="Y140" s="1"/>
  <c r="AA140" s="1"/>
  <c r="X147"/>
  <c r="Y147" s="1"/>
  <c r="AA147" s="1"/>
  <c r="Y143"/>
  <c r="X146"/>
  <c r="Y146" s="1"/>
  <c r="AA146" s="1"/>
  <c r="X138"/>
  <c r="X145"/>
  <c r="Y145" s="1"/>
  <c r="AA145" s="1"/>
  <c r="Z178"/>
  <c r="AB178" s="1"/>
  <c r="AE178" s="1"/>
  <c r="AJ178" s="1"/>
  <c r="Y88"/>
  <c r="AA88" s="1"/>
  <c r="Z177"/>
  <c r="AB177" s="1"/>
  <c r="AD177" s="1"/>
  <c r="AP177" s="1"/>
  <c r="Z290"/>
  <c r="Z176"/>
  <c r="AB176" s="1"/>
  <c r="AD176" s="1"/>
  <c r="AP176" s="1"/>
  <c r="Z292"/>
  <c r="AB292" s="1"/>
  <c r="AE292" s="1"/>
  <c r="Z169"/>
  <c r="AB169" s="1"/>
  <c r="AE169" s="1"/>
  <c r="AJ169" s="1"/>
  <c r="Z264"/>
  <c r="AB264" s="1"/>
  <c r="AE264" s="1"/>
  <c r="Z80"/>
  <c r="AA80"/>
  <c r="AA87"/>
  <c r="Z87"/>
  <c r="Z295"/>
  <c r="AB295" s="1"/>
  <c r="Z172"/>
  <c r="AB172" s="1"/>
  <c r="AN172" s="1"/>
  <c r="Z174"/>
  <c r="AB174" s="1"/>
  <c r="AN174" s="1"/>
  <c r="Z144"/>
  <c r="AB144" s="1"/>
  <c r="AE144" s="1"/>
  <c r="AJ144" s="1"/>
  <c r="AD53"/>
  <c r="AP53" s="1"/>
  <c r="Z140"/>
  <c r="AB140" s="1"/>
  <c r="AE140" s="1"/>
  <c r="AJ140" s="1"/>
  <c r="Z259"/>
  <c r="AB259" s="1"/>
  <c r="AE259" s="1"/>
  <c r="AJ259" s="1"/>
  <c r="Z139"/>
  <c r="AB139" s="1"/>
  <c r="Z205"/>
  <c r="AB205" s="1"/>
  <c r="AE205" s="1"/>
  <c r="AJ205" s="1"/>
  <c r="AN53"/>
  <c r="Z170"/>
  <c r="AB170" s="1"/>
  <c r="AC170" s="1"/>
  <c r="AH170" s="1"/>
  <c r="Z289"/>
  <c r="AB289" s="1"/>
  <c r="AE289" s="1"/>
  <c r="Z288"/>
  <c r="Z199"/>
  <c r="AB199" s="1"/>
  <c r="AE199" s="1"/>
  <c r="AJ199" s="1"/>
  <c r="AA266"/>
  <c r="Z266"/>
  <c r="Z267"/>
  <c r="AC178"/>
  <c r="AH178" s="1"/>
  <c r="S19"/>
  <c r="R19"/>
  <c r="AI144"/>
  <c r="AL266"/>
  <c r="AL251"/>
  <c r="AO208"/>
  <c r="I208"/>
  <c r="AI208" s="1"/>
  <c r="J22"/>
  <c r="AK219"/>
  <c r="AK234"/>
  <c r="K236"/>
  <c r="AI236" s="1"/>
  <c r="AK235"/>
  <c r="AK220"/>
  <c r="X228"/>
  <c r="X229"/>
  <c r="X234"/>
  <c r="X238"/>
  <c r="X235"/>
  <c r="X236"/>
  <c r="X237"/>
  <c r="Y233"/>
  <c r="AA233" s="1"/>
  <c r="X230"/>
  <c r="X231"/>
  <c r="X232"/>
  <c r="AK230"/>
  <c r="AK215"/>
  <c r="K229"/>
  <c r="AI229" s="1"/>
  <c r="AK216"/>
  <c r="AK231"/>
  <c r="K232"/>
  <c r="Z54"/>
  <c r="AB54" s="1"/>
  <c r="AD54" s="1"/>
  <c r="Z49"/>
  <c r="AB49" s="1"/>
  <c r="AN49" s="1"/>
  <c r="Z294"/>
  <c r="AB294" s="1"/>
  <c r="Z262"/>
  <c r="AB262" s="1"/>
  <c r="Z171"/>
  <c r="AB171" s="1"/>
  <c r="Z268"/>
  <c r="AB268" s="1"/>
  <c r="Z261"/>
  <c r="AB261" s="1"/>
  <c r="Z168"/>
  <c r="AB168" s="1"/>
  <c r="Z291"/>
  <c r="AB291" s="1"/>
  <c r="AE291" s="1"/>
  <c r="Z141"/>
  <c r="AB141" s="1"/>
  <c r="AD170"/>
  <c r="AP170" s="1"/>
  <c r="AN170"/>
  <c r="AE170"/>
  <c r="AJ170" s="1"/>
  <c r="AL267"/>
  <c r="AL252"/>
  <c r="AH219"/>
  <c r="AC172"/>
  <c r="AH172" s="1"/>
  <c r="AE172"/>
  <c r="AJ172" s="1"/>
  <c r="AO198"/>
  <c r="I198"/>
  <c r="AI198" s="1"/>
  <c r="Y208"/>
  <c r="AA208" s="1"/>
  <c r="K234"/>
  <c r="AI234" s="1"/>
  <c r="AK236"/>
  <c r="AK221"/>
  <c r="AO201"/>
  <c r="I201"/>
  <c r="AI201" s="1"/>
  <c r="K238"/>
  <c r="AI238" s="1"/>
  <c r="AD139"/>
  <c r="AE139"/>
  <c r="AJ139" s="1"/>
  <c r="AK228"/>
  <c r="AK213"/>
  <c r="S21"/>
  <c r="AJ204"/>
  <c r="K231"/>
  <c r="AI231" s="1"/>
  <c r="AK232"/>
  <c r="AK217"/>
  <c r="AN199"/>
  <c r="AD199"/>
  <c r="AC199"/>
  <c r="AH199" s="1"/>
  <c r="AN204"/>
  <c r="AD204"/>
  <c r="AC204"/>
  <c r="AA265"/>
  <c r="AB265" s="1"/>
  <c r="AO202"/>
  <c r="I202"/>
  <c r="AI202" s="1"/>
  <c r="K237"/>
  <c r="AI237" s="1"/>
  <c r="AI205"/>
  <c r="AO206"/>
  <c r="I206"/>
  <c r="AI206" s="1"/>
  <c r="AD169"/>
  <c r="AP169" s="1"/>
  <c r="AD264"/>
  <c r="AC259"/>
  <c r="AH259" s="1"/>
  <c r="AK238"/>
  <c r="AK223"/>
  <c r="AC263"/>
  <c r="AH263" s="1"/>
  <c r="AD263"/>
  <c r="AE263"/>
  <c r="AJ263" s="1"/>
  <c r="K228"/>
  <c r="AI228" s="1"/>
  <c r="R21"/>
  <c r="AI204"/>
  <c r="Z258"/>
  <c r="AB258" s="1"/>
  <c r="L198"/>
  <c r="M198" s="1"/>
  <c r="X198" s="1"/>
  <c r="L201"/>
  <c r="M201" s="1"/>
  <c r="X201" s="1"/>
  <c r="AK237"/>
  <c r="AK222"/>
  <c r="AC176"/>
  <c r="AH176" s="1"/>
  <c r="AD292"/>
  <c r="AN203"/>
  <c r="AD203"/>
  <c r="AP203" s="1"/>
  <c r="AC203"/>
  <c r="AH203" s="1"/>
  <c r="AE203"/>
  <c r="AJ203" s="1"/>
  <c r="K266"/>
  <c r="AI266" s="1"/>
  <c r="K267"/>
  <c r="AI267" s="1"/>
  <c r="K235"/>
  <c r="AI235" s="1"/>
  <c r="K230"/>
  <c r="AI230" s="1"/>
  <c r="AK214"/>
  <c r="AK229"/>
  <c r="L202"/>
  <c r="M202" s="1"/>
  <c r="X202" s="1"/>
  <c r="L206"/>
  <c r="M206" s="1"/>
  <c r="X206" s="1"/>
  <c r="Z260"/>
  <c r="AB260" s="1"/>
  <c r="Z175"/>
  <c r="AB175" s="1"/>
  <c r="Z293"/>
  <c r="AB293" s="1"/>
  <c r="Z200"/>
  <c r="AB200" s="1"/>
  <c r="Z207"/>
  <c r="AB207" s="1"/>
  <c r="AD85"/>
  <c r="AE85"/>
  <c r="AJ85" s="1"/>
  <c r="AD84"/>
  <c r="AJ84"/>
  <c r="S17"/>
  <c r="AG17" s="1"/>
  <c r="X112"/>
  <c r="Y112" s="1"/>
  <c r="AA112" s="1"/>
  <c r="X110"/>
  <c r="Y110" s="1"/>
  <c r="AA110" s="1"/>
  <c r="X108"/>
  <c r="Y108" s="1"/>
  <c r="AA108" s="1"/>
  <c r="X118"/>
  <c r="Y118" s="1"/>
  <c r="AA118" s="1"/>
  <c r="X114"/>
  <c r="Y114" s="1"/>
  <c r="AA114" s="1"/>
  <c r="X111"/>
  <c r="Y111" s="1"/>
  <c r="AA111" s="1"/>
  <c r="X115"/>
  <c r="Y115" s="1"/>
  <c r="AA115" s="1"/>
  <c r="Y113"/>
  <c r="AA113" s="1"/>
  <c r="X117"/>
  <c r="Y117" s="1"/>
  <c r="AA117" s="1"/>
  <c r="Y109"/>
  <c r="Z109" s="1"/>
  <c r="X116"/>
  <c r="Y116" s="1"/>
  <c r="AA116" s="1"/>
  <c r="AC54"/>
  <c r="AN54"/>
  <c r="AE53"/>
  <c r="AJ53" s="1"/>
  <c r="Z58"/>
  <c r="AB58" s="1"/>
  <c r="Z51"/>
  <c r="AB51" s="1"/>
  <c r="AC57"/>
  <c r="AH57" s="1"/>
  <c r="Z56"/>
  <c r="AB56" s="1"/>
  <c r="Z48"/>
  <c r="Z50"/>
  <c r="AB50" s="1"/>
  <c r="Z55"/>
  <c r="AB55" s="1"/>
  <c r="Z52"/>
  <c r="AB52" s="1"/>
  <c r="AD79" l="1"/>
  <c r="AD57"/>
  <c r="AP57" s="1"/>
  <c r="AC49"/>
  <c r="AH49" s="1"/>
  <c r="S24"/>
  <c r="AJ292"/>
  <c r="AC294"/>
  <c r="AE294"/>
  <c r="AC293"/>
  <c r="AE293"/>
  <c r="AJ289"/>
  <c r="AC289"/>
  <c r="AD295"/>
  <c r="AC295"/>
  <c r="AI290"/>
  <c r="K290"/>
  <c r="AE295"/>
  <c r="AC291"/>
  <c r="AC292"/>
  <c r="K288"/>
  <c r="AI288" s="1"/>
  <c r="AF24"/>
  <c r="AJ24"/>
  <c r="AJ21"/>
  <c r="AF21"/>
  <c r="AG21"/>
  <c r="AK21"/>
  <c r="AG19"/>
  <c r="AK19"/>
  <c r="AF19"/>
  <c r="AJ19"/>
  <c r="AB82"/>
  <c r="AB48"/>
  <c r="AC48" s="1"/>
  <c r="AH48" s="1"/>
  <c r="AI232"/>
  <c r="R22"/>
  <c r="AA296"/>
  <c r="AB296" s="1"/>
  <c r="M281"/>
  <c r="AH281" s="1"/>
  <c r="R281"/>
  <c r="S281"/>
  <c r="AJ275"/>
  <c r="K275"/>
  <c r="AL291"/>
  <c r="AL276"/>
  <c r="AL281"/>
  <c r="AL296"/>
  <c r="AB288"/>
  <c r="AE288" s="1"/>
  <c r="AL289"/>
  <c r="AL274"/>
  <c r="AL283"/>
  <c r="AL298"/>
  <c r="M276"/>
  <c r="AH276" s="1"/>
  <c r="S276"/>
  <c r="R276"/>
  <c r="AL280"/>
  <c r="AL295"/>
  <c r="AJ273"/>
  <c r="K273"/>
  <c r="M277"/>
  <c r="R277"/>
  <c r="S277"/>
  <c r="AL282"/>
  <c r="AL297"/>
  <c r="M274"/>
  <c r="AH274" s="1"/>
  <c r="S274"/>
  <c r="R274"/>
  <c r="M280"/>
  <c r="AH280" s="1"/>
  <c r="S280"/>
  <c r="R280"/>
  <c r="M282"/>
  <c r="AH282" s="1"/>
  <c r="R282"/>
  <c r="S282"/>
  <c r="G290"/>
  <c r="AL292"/>
  <c r="AL277"/>
  <c r="G288"/>
  <c r="M283"/>
  <c r="AH283" s="1"/>
  <c r="S283"/>
  <c r="R283"/>
  <c r="AA290"/>
  <c r="AB290" s="1"/>
  <c r="AC290" s="1"/>
  <c r="AH295"/>
  <c r="AD289"/>
  <c r="AJ295"/>
  <c r="AA298"/>
  <c r="AB298" s="1"/>
  <c r="Z297"/>
  <c r="AB297" s="1"/>
  <c r="AJ264"/>
  <c r="AC169"/>
  <c r="AH169" s="1"/>
  <c r="AN177"/>
  <c r="AN205"/>
  <c r="AC174"/>
  <c r="AH174" s="1"/>
  <c r="AA78"/>
  <c r="AB78" s="1"/>
  <c r="AE177"/>
  <c r="AJ177" s="1"/>
  <c r="AE174"/>
  <c r="S20" s="1"/>
  <c r="Z146"/>
  <c r="AB146" s="1"/>
  <c r="AD86"/>
  <c r="AE86"/>
  <c r="AJ86" s="1"/>
  <c r="AC264"/>
  <c r="AH264" s="1"/>
  <c r="AN169"/>
  <c r="AC177"/>
  <c r="AH177" s="1"/>
  <c r="AD174"/>
  <c r="AP174" s="1"/>
  <c r="AD172"/>
  <c r="AP172" s="1"/>
  <c r="AN178"/>
  <c r="AD81"/>
  <c r="AE81"/>
  <c r="AJ81" s="1"/>
  <c r="AD178"/>
  <c r="AP178" s="1"/>
  <c r="Z142"/>
  <c r="AB142" s="1"/>
  <c r="AD142" s="1"/>
  <c r="AD140"/>
  <c r="Z145"/>
  <c r="AB145" s="1"/>
  <c r="AB87"/>
  <c r="Z147"/>
  <c r="AB147" s="1"/>
  <c r="Z88"/>
  <c r="AB83"/>
  <c r="AA148"/>
  <c r="Z148"/>
  <c r="AB88"/>
  <c r="AN88" s="1"/>
  <c r="Y138"/>
  <c r="AA138" s="1"/>
  <c r="AA143"/>
  <c r="Z143"/>
  <c r="AE88"/>
  <c r="AJ88" s="1"/>
  <c r="AD49"/>
  <c r="AE49" s="1"/>
  <c r="AJ49" s="1"/>
  <c r="AN176"/>
  <c r="AE176"/>
  <c r="AJ176" s="1"/>
  <c r="AD205"/>
  <c r="AP205" s="1"/>
  <c r="AH289"/>
  <c r="AD144"/>
  <c r="AC205"/>
  <c r="AB80"/>
  <c r="Z116"/>
  <c r="AB116" s="1"/>
  <c r="AE116" s="1"/>
  <c r="AJ116" s="1"/>
  <c r="AD259"/>
  <c r="AC265"/>
  <c r="AD265"/>
  <c r="AE265"/>
  <c r="AJ265" s="1"/>
  <c r="AN207"/>
  <c r="AD207"/>
  <c r="AP207" s="1"/>
  <c r="AC207"/>
  <c r="AH207" s="1"/>
  <c r="AE207"/>
  <c r="AJ207" s="1"/>
  <c r="AD175"/>
  <c r="AP175" s="1"/>
  <c r="AN175"/>
  <c r="AC175"/>
  <c r="AH175" s="1"/>
  <c r="AE175"/>
  <c r="AJ175" s="1"/>
  <c r="Y198"/>
  <c r="AA198" s="1"/>
  <c r="Q21"/>
  <c r="AH204"/>
  <c r="AH291"/>
  <c r="AD291"/>
  <c r="AJ291"/>
  <c r="AD171"/>
  <c r="AP171" s="1"/>
  <c r="AN171"/>
  <c r="AC171"/>
  <c r="AH171" s="1"/>
  <c r="AE171"/>
  <c r="AJ171" s="1"/>
  <c r="Y232"/>
  <c r="AA232" s="1"/>
  <c r="Y237"/>
  <c r="AA237" s="1"/>
  <c r="Y234"/>
  <c r="AA234" s="1"/>
  <c r="AP199"/>
  <c r="AE142"/>
  <c r="AJ142" s="1"/>
  <c r="Y202"/>
  <c r="AA202" s="1"/>
  <c r="Y201"/>
  <c r="AA201" s="1"/>
  <c r="AD141"/>
  <c r="AE141"/>
  <c r="AJ141" s="1"/>
  <c r="AC268"/>
  <c r="AH268" s="1"/>
  <c r="AD268"/>
  <c r="AE268"/>
  <c r="AJ268" s="1"/>
  <c r="AD294"/>
  <c r="Y238"/>
  <c r="AA238" s="1"/>
  <c r="Y228"/>
  <c r="AA228" s="1"/>
  <c r="AB266"/>
  <c r="AH293"/>
  <c r="AD293"/>
  <c r="AJ293"/>
  <c r="Y206"/>
  <c r="AA206" s="1"/>
  <c r="AH205"/>
  <c r="AC261"/>
  <c r="AH261" s="1"/>
  <c r="AD261"/>
  <c r="AE261"/>
  <c r="AJ261" s="1"/>
  <c r="AC262"/>
  <c r="AH262" s="1"/>
  <c r="AD262"/>
  <c r="AE262"/>
  <c r="AJ262" s="1"/>
  <c r="Y230"/>
  <c r="AA230" s="1"/>
  <c r="Y235"/>
  <c r="AA235" s="1"/>
  <c r="Z208"/>
  <c r="AB208" s="1"/>
  <c r="Z233"/>
  <c r="AB233" s="1"/>
  <c r="AN200"/>
  <c r="AD200"/>
  <c r="AP200" s="1"/>
  <c r="AC200"/>
  <c r="AH200" s="1"/>
  <c r="AE200"/>
  <c r="AJ200" s="1"/>
  <c r="AC260"/>
  <c r="AH260" s="1"/>
  <c r="AD260"/>
  <c r="AE260"/>
  <c r="AJ260" s="1"/>
  <c r="AC258"/>
  <c r="AH258" s="1"/>
  <c r="AD258"/>
  <c r="AE258"/>
  <c r="AJ258" s="1"/>
  <c r="AD168"/>
  <c r="AP168" s="1"/>
  <c r="AN168"/>
  <c r="AC168"/>
  <c r="AH168" s="1"/>
  <c r="AE168"/>
  <c r="AJ168" s="1"/>
  <c r="AD145"/>
  <c r="AE145"/>
  <c r="AJ145" s="1"/>
  <c r="Y231"/>
  <c r="AA231" s="1"/>
  <c r="Y236"/>
  <c r="AA236" s="1"/>
  <c r="Y229"/>
  <c r="AA229" s="1"/>
  <c r="AP204"/>
  <c r="AB267"/>
  <c r="Z110"/>
  <c r="AB110" s="1"/>
  <c r="AD110" s="1"/>
  <c r="Z108"/>
  <c r="AB108" s="1"/>
  <c r="AD108" s="1"/>
  <c r="AA109"/>
  <c r="AB109" s="1"/>
  <c r="Z115"/>
  <c r="AB115" s="1"/>
  <c r="AE115" s="1"/>
  <c r="AJ115" s="1"/>
  <c r="Z117"/>
  <c r="AB117" s="1"/>
  <c r="AD117" s="1"/>
  <c r="Z112"/>
  <c r="AB112" s="1"/>
  <c r="AE112" s="1"/>
  <c r="AJ112" s="1"/>
  <c r="Z118"/>
  <c r="AB118" s="1"/>
  <c r="AD118" s="1"/>
  <c r="Z114"/>
  <c r="AB114" s="1"/>
  <c r="Z111"/>
  <c r="AB111" s="1"/>
  <c r="Z113"/>
  <c r="AB113" s="1"/>
  <c r="AC52"/>
  <c r="AH52" s="1"/>
  <c r="AN52"/>
  <c r="AD52"/>
  <c r="AD58"/>
  <c r="AC58"/>
  <c r="AH58" s="1"/>
  <c r="AN58"/>
  <c r="AD55"/>
  <c r="AN55"/>
  <c r="AC55"/>
  <c r="AH55" s="1"/>
  <c r="Q16"/>
  <c r="AH54"/>
  <c r="AD56"/>
  <c r="AN56"/>
  <c r="AC56"/>
  <c r="AH56" s="1"/>
  <c r="AP49"/>
  <c r="AN48"/>
  <c r="AE57"/>
  <c r="AJ57" s="1"/>
  <c r="AN51"/>
  <c r="AD51"/>
  <c r="AC51"/>
  <c r="AH51" s="1"/>
  <c r="AE54"/>
  <c r="AP54"/>
  <c r="AN50"/>
  <c r="AC50"/>
  <c r="AH50" s="1"/>
  <c r="AD50"/>
  <c r="AC298" l="1"/>
  <c r="AE298"/>
  <c r="AG24"/>
  <c r="AK24"/>
  <c r="AE290"/>
  <c r="AC297"/>
  <c r="AE297"/>
  <c r="AC296"/>
  <c r="AE296"/>
  <c r="AH277"/>
  <c r="N24"/>
  <c r="AC288"/>
  <c r="AH288" s="1"/>
  <c r="Q24"/>
  <c r="AH292"/>
  <c r="AJ22"/>
  <c r="AF22"/>
  <c r="AE21"/>
  <c r="AI21"/>
  <c r="AK20"/>
  <c r="AG20"/>
  <c r="AE82"/>
  <c r="AJ82" s="1"/>
  <c r="AD82"/>
  <c r="AD48"/>
  <c r="AE48" s="1"/>
  <c r="AJ48" s="1"/>
  <c r="AE16"/>
  <c r="AI16"/>
  <c r="AD115"/>
  <c r="Q20"/>
  <c r="AJ290"/>
  <c r="AH290"/>
  <c r="AD290"/>
  <c r="AL273"/>
  <c r="AL288"/>
  <c r="M273"/>
  <c r="AH273" s="1"/>
  <c r="S273"/>
  <c r="R273"/>
  <c r="M275"/>
  <c r="AH275" s="1"/>
  <c r="S275"/>
  <c r="R275"/>
  <c r="AD288"/>
  <c r="AJ288"/>
  <c r="AL275"/>
  <c r="AL290"/>
  <c r="AD298"/>
  <c r="AH298"/>
  <c r="AJ298"/>
  <c r="AH294"/>
  <c r="AH265"/>
  <c r="AJ294"/>
  <c r="AE78"/>
  <c r="AJ78" s="1"/>
  <c r="AD78"/>
  <c r="AN78"/>
  <c r="AE146"/>
  <c r="AJ146" s="1"/>
  <c r="AD146"/>
  <c r="AJ174"/>
  <c r="AE83"/>
  <c r="AJ83" s="1"/>
  <c r="AN83"/>
  <c r="AD83"/>
  <c r="AP81" s="1"/>
  <c r="AC83"/>
  <c r="AH83" s="1"/>
  <c r="AC79"/>
  <c r="AH79" s="1"/>
  <c r="AN84"/>
  <c r="AN79"/>
  <c r="AC78"/>
  <c r="AH78" s="1"/>
  <c r="AN85"/>
  <c r="AC86"/>
  <c r="AH86" s="1"/>
  <c r="AN82"/>
  <c r="AC85"/>
  <c r="AH85" s="1"/>
  <c r="AC82"/>
  <c r="AH82" s="1"/>
  <c r="AN86"/>
  <c r="AC84"/>
  <c r="Z138"/>
  <c r="AB138" s="1"/>
  <c r="AD138" s="1"/>
  <c r="AN81"/>
  <c r="AC81"/>
  <c r="AH81" s="1"/>
  <c r="AN87"/>
  <c r="AD87"/>
  <c r="AE147"/>
  <c r="AJ147" s="1"/>
  <c r="AD147"/>
  <c r="AC87"/>
  <c r="AH87" s="1"/>
  <c r="Z236"/>
  <c r="AB236" s="1"/>
  <c r="AE236" s="1"/>
  <c r="AJ236" s="1"/>
  <c r="AE87"/>
  <c r="AJ87" s="1"/>
  <c r="AB148"/>
  <c r="AD88"/>
  <c r="AC88"/>
  <c r="AH88" s="1"/>
  <c r="Z201"/>
  <c r="AB201" s="1"/>
  <c r="AD201" s="1"/>
  <c r="AP201" s="1"/>
  <c r="AB143"/>
  <c r="AN80"/>
  <c r="AC80"/>
  <c r="AH80" s="1"/>
  <c r="AD80"/>
  <c r="AE80"/>
  <c r="AJ80" s="1"/>
  <c r="AD116"/>
  <c r="Z228"/>
  <c r="AB228" s="1"/>
  <c r="AE228" s="1"/>
  <c r="AJ228" s="1"/>
  <c r="Z234"/>
  <c r="AB234" s="1"/>
  <c r="AC234" s="1"/>
  <c r="Z232"/>
  <c r="AB232" s="1"/>
  <c r="AD232" s="1"/>
  <c r="Z230"/>
  <c r="AB230" s="1"/>
  <c r="AC230" s="1"/>
  <c r="AH230" s="1"/>
  <c r="Z206"/>
  <c r="AB206" s="1"/>
  <c r="AN206" s="1"/>
  <c r="Z237"/>
  <c r="AB237" s="1"/>
  <c r="AE237" s="1"/>
  <c r="AJ237" s="1"/>
  <c r="AC267"/>
  <c r="AH267" s="1"/>
  <c r="AD267"/>
  <c r="AE267"/>
  <c r="AJ267" s="1"/>
  <c r="AC266"/>
  <c r="AH266" s="1"/>
  <c r="AD266"/>
  <c r="AE266"/>
  <c r="AJ266" s="1"/>
  <c r="Z235"/>
  <c r="AB235" s="1"/>
  <c r="AD296"/>
  <c r="AH296"/>
  <c r="AJ296"/>
  <c r="AN208"/>
  <c r="AD208"/>
  <c r="AP208" s="1"/>
  <c r="AC208"/>
  <c r="AH208" s="1"/>
  <c r="AE208"/>
  <c r="AJ208" s="1"/>
  <c r="AD297"/>
  <c r="AH297"/>
  <c r="AJ297"/>
  <c r="Z229"/>
  <c r="AB229" s="1"/>
  <c r="Z231"/>
  <c r="AB231" s="1"/>
  <c r="Z202"/>
  <c r="AB202" s="1"/>
  <c r="AC233"/>
  <c r="AH233" s="1"/>
  <c r="AD233"/>
  <c r="AE233"/>
  <c r="AJ233" s="1"/>
  <c r="Z238"/>
  <c r="AB238" s="1"/>
  <c r="Z198"/>
  <c r="AB198" s="1"/>
  <c r="AE108"/>
  <c r="AJ108" s="1"/>
  <c r="AE110"/>
  <c r="AJ110" s="1"/>
  <c r="AE117"/>
  <c r="AJ117" s="1"/>
  <c r="AD112"/>
  <c r="AN117"/>
  <c r="AN116"/>
  <c r="AC116"/>
  <c r="AH116" s="1"/>
  <c r="AC112"/>
  <c r="AH112" s="1"/>
  <c r="AC118"/>
  <c r="AH118" s="1"/>
  <c r="AN118"/>
  <c r="AN115"/>
  <c r="AE118"/>
  <c r="AJ118" s="1"/>
  <c r="AC111"/>
  <c r="AH111" s="1"/>
  <c r="AE111"/>
  <c r="AJ111" s="1"/>
  <c r="AD113"/>
  <c r="AP108" s="1"/>
  <c r="AE113"/>
  <c r="AJ113" s="1"/>
  <c r="AN113"/>
  <c r="AC113"/>
  <c r="AH113" s="1"/>
  <c r="AN110"/>
  <c r="AN112"/>
  <c r="AC115"/>
  <c r="AH115" s="1"/>
  <c r="AC108"/>
  <c r="AH108" s="1"/>
  <c r="AC117"/>
  <c r="AH117" s="1"/>
  <c r="AN111"/>
  <c r="AC110"/>
  <c r="AH110" s="1"/>
  <c r="AN108"/>
  <c r="AD111"/>
  <c r="AD114"/>
  <c r="AN114"/>
  <c r="AE114"/>
  <c r="AC114"/>
  <c r="AD109"/>
  <c r="AC109"/>
  <c r="AH109" s="1"/>
  <c r="AE109"/>
  <c r="AJ109" s="1"/>
  <c r="AN109"/>
  <c r="AP51"/>
  <c r="AE51"/>
  <c r="AJ51" s="1"/>
  <c r="AE55"/>
  <c r="AJ55" s="1"/>
  <c r="AP55"/>
  <c r="AE50"/>
  <c r="AJ50" s="1"/>
  <c r="AP50"/>
  <c r="S16"/>
  <c r="AJ54"/>
  <c r="AP52"/>
  <c r="AE52"/>
  <c r="AJ52" s="1"/>
  <c r="AE56"/>
  <c r="AJ56" s="1"/>
  <c r="AP56"/>
  <c r="AP58"/>
  <c r="AE58"/>
  <c r="AJ58" s="1"/>
  <c r="AG16" l="1"/>
  <c r="AK16"/>
  <c r="AE24"/>
  <c r="AI24"/>
  <c r="AD230"/>
  <c r="AC206"/>
  <c r="AH206" s="1"/>
  <c r="AC201"/>
  <c r="AH201" s="1"/>
  <c r="AI20"/>
  <c r="AE20"/>
  <c r="AE138"/>
  <c r="AJ138" s="1"/>
  <c r="AP80"/>
  <c r="AP48"/>
  <c r="AD234"/>
  <c r="AE232"/>
  <c r="AE230"/>
  <c r="AJ230" s="1"/>
  <c r="AH234"/>
  <c r="AD228"/>
  <c r="AC236"/>
  <c r="AH236" s="1"/>
  <c r="AE201"/>
  <c r="AJ201" s="1"/>
  <c r="AP87"/>
  <c r="AN201"/>
  <c r="AP88"/>
  <c r="AD236"/>
  <c r="Q17"/>
  <c r="AE17" s="1"/>
  <c r="AH84"/>
  <c r="AP83"/>
  <c r="AP86"/>
  <c r="AP85"/>
  <c r="AP79"/>
  <c r="AP78"/>
  <c r="AP82"/>
  <c r="AP84"/>
  <c r="AC232"/>
  <c r="AD143"/>
  <c r="AN143"/>
  <c r="AC143"/>
  <c r="AH143" s="1"/>
  <c r="AN139"/>
  <c r="AN146"/>
  <c r="AE143"/>
  <c r="AJ143" s="1"/>
  <c r="AC139"/>
  <c r="AH139" s="1"/>
  <c r="AC146"/>
  <c r="AH146" s="1"/>
  <c r="AC140"/>
  <c r="AH140" s="1"/>
  <c r="AC142"/>
  <c r="AH142" s="1"/>
  <c r="AN141"/>
  <c r="AC145"/>
  <c r="AH145" s="1"/>
  <c r="AN147"/>
  <c r="AN144"/>
  <c r="AN140"/>
  <c r="AC147"/>
  <c r="AH147" s="1"/>
  <c r="AN142"/>
  <c r="AC141"/>
  <c r="AH141" s="1"/>
  <c r="AN145"/>
  <c r="AC144"/>
  <c r="AP138"/>
  <c r="AE148"/>
  <c r="AJ148" s="1"/>
  <c r="AN148"/>
  <c r="AC148"/>
  <c r="AH148" s="1"/>
  <c r="AD148"/>
  <c r="AP148" s="1"/>
  <c r="AC138"/>
  <c r="AH138" s="1"/>
  <c r="AN138"/>
  <c r="AD206"/>
  <c r="AP206" s="1"/>
  <c r="AC228"/>
  <c r="AH228" s="1"/>
  <c r="AE206"/>
  <c r="AJ206" s="1"/>
  <c r="AE234"/>
  <c r="AD237"/>
  <c r="AC237"/>
  <c r="AH237" s="1"/>
  <c r="AC229"/>
  <c r="AH229" s="1"/>
  <c r="AD229"/>
  <c r="AE229"/>
  <c r="AJ229" s="1"/>
  <c r="AC238"/>
  <c r="AH238" s="1"/>
  <c r="AD238"/>
  <c r="AE238"/>
  <c r="AJ238" s="1"/>
  <c r="AC231"/>
  <c r="AH231" s="1"/>
  <c r="AD231"/>
  <c r="AE231"/>
  <c r="AJ231" s="1"/>
  <c r="AD198"/>
  <c r="AP198" s="1"/>
  <c r="AN198"/>
  <c r="AC198"/>
  <c r="AH198" s="1"/>
  <c r="AE198"/>
  <c r="AJ198" s="1"/>
  <c r="AN202"/>
  <c r="AD202"/>
  <c r="AP202" s="1"/>
  <c r="AC202"/>
  <c r="AH202" s="1"/>
  <c r="AE202"/>
  <c r="AJ202" s="1"/>
  <c r="AC235"/>
  <c r="AH235" s="1"/>
  <c r="AD235"/>
  <c r="AE235"/>
  <c r="AJ235" s="1"/>
  <c r="AP115"/>
  <c r="AP111"/>
  <c r="AP109"/>
  <c r="AP114"/>
  <c r="AP116"/>
  <c r="AP118"/>
  <c r="AP113"/>
  <c r="AP110"/>
  <c r="AP117"/>
  <c r="AP112"/>
  <c r="AJ114"/>
  <c r="S18"/>
  <c r="AH114"/>
  <c r="Q18"/>
  <c r="AE18" l="1"/>
  <c r="AI18"/>
  <c r="AG18"/>
  <c r="AK18"/>
  <c r="AH232"/>
  <c r="Q22"/>
  <c r="AJ232"/>
  <c r="S22"/>
  <c r="AG22" s="1"/>
  <c r="AJ234"/>
  <c r="AP143"/>
  <c r="AP147"/>
  <c r="AP139"/>
  <c r="AP140"/>
  <c r="AP146"/>
  <c r="AP145"/>
  <c r="AP144"/>
  <c r="AP141"/>
  <c r="AP142"/>
  <c r="Q19"/>
  <c r="AH144"/>
  <c r="AI22" l="1"/>
  <c r="AE22"/>
  <c r="AI19"/>
  <c r="AE19"/>
</calcChain>
</file>

<file path=xl/sharedStrings.xml><?xml version="1.0" encoding="utf-8"?>
<sst xmlns="http://schemas.openxmlformats.org/spreadsheetml/2006/main" count="1275" uniqueCount="172">
  <si>
    <t>Finish angle radians</t>
  </si>
  <si>
    <t>Finish angle degrees</t>
  </si>
  <si>
    <t>Arc (m) = 0.297865 * Height (m) + 1.08387</t>
  </si>
  <si>
    <t>Inboard (cm)</t>
  </si>
  <si>
    <t>span (cm)</t>
  </si>
  <si>
    <t>catch angle (deg)</t>
  </si>
  <si>
    <t>sweep angle (deg)</t>
  </si>
  <si>
    <t>distance between handles (cm)</t>
  </si>
  <si>
    <t>Arc stroke length</t>
  </si>
  <si>
    <t>distance to move stretcher bow-wards (cm)</t>
  </si>
  <si>
    <t>BASICS</t>
  </si>
  <si>
    <t xml:space="preserve">Catch angle determined by arc stroke length and finish angle. </t>
  </si>
  <si>
    <t>Athlete Height (cm)</t>
  </si>
  <si>
    <t>b (cm) distance handles behind the work</t>
  </si>
  <si>
    <t>Position of handles at catch</t>
  </si>
  <si>
    <t>assume handles get to same position relative to stretcher at catch</t>
  </si>
  <si>
    <t>thro' work (cm)</t>
  </si>
  <si>
    <t>spread (cm)</t>
  </si>
  <si>
    <t>handle thro' work (cm)</t>
  </si>
  <si>
    <t>handle spread (cm)</t>
  </si>
  <si>
    <t>Finish angle degrees changed</t>
  </si>
  <si>
    <t>catch angle degrees changed</t>
  </si>
  <si>
    <t>sweep angle degrees changes</t>
  </si>
  <si>
    <t>Angle changes due to span and inboard and distance between the hands at the finish. Developed March 12</t>
  </si>
  <si>
    <t>using \Kleshnev formula</t>
  </si>
  <si>
    <t>Athlete arm span as % of height</t>
  </si>
  <si>
    <t>Athlete shoulder width as % of arm span</t>
  </si>
  <si>
    <t>Arm span</t>
  </si>
  <si>
    <t>Athlete shoulder width</t>
  </si>
  <si>
    <t>Shoulder through the work</t>
  </si>
  <si>
    <t>Lateral distance of shoulder from handle</t>
  </si>
  <si>
    <t>catch angle created by shoulder thro the work</t>
  </si>
  <si>
    <t>distance from shoulder to pin</t>
  </si>
  <si>
    <t>Lateral distance of shoulder from boat centre line</t>
  </si>
  <si>
    <t>Lateral distance of shoulder from pin</t>
  </si>
  <si>
    <t>catch angle created by arm from shoulder</t>
  </si>
  <si>
    <t>total catch angle</t>
  </si>
  <si>
    <t>change in catch angle</t>
  </si>
  <si>
    <t>change in sweep angle</t>
  </si>
  <si>
    <t>2) b) REDUCING THE SPAN WHILST NOT MOVING THE STRETCHER SO DISTANCE BETWEEN HANDLES CHANGES - SHOULDERS AND ARMS model</t>
  </si>
  <si>
    <t>1( b) REDUCING THE SPAN WHILST KEEPING DISTANCE BETWEEN HANDLES AT FINISH CONSTANT BY ADJUSTING THE STRETCHER - SHOULDERS AND ARMS Model</t>
  </si>
  <si>
    <t>overlap</t>
  </si>
  <si>
    <t>distance between handles at finish (cm)</t>
  </si>
  <si>
    <t>effective arm length at 17 deg droop at catch</t>
  </si>
  <si>
    <t>Finish angle determined by distance between handles at the finish, span and inboard i.e. by the rig not the athlete</t>
  </si>
  <si>
    <t xml:space="preserve"> Arc stroke length determined by the athlete and a good estimate can be determined from their height using Kleshnev formula  .</t>
  </si>
  <si>
    <t>3) b) REDUCING THE SPAN AND INBOARD "EQUALLY" WHILST KEEPING DISTANCE BETWEEN HANDLES AT FINISH CONSTANT BY ADJUSTING THE STRETCHER - SHOULDERS AND ARMS model</t>
  </si>
  <si>
    <t>3) a) REDUCING THE SPAN AND INBOARD "EQUALLY" WHILST KEEPING DISTANCE BETWEEN HANDLES AT FINISH CONSTANT BY ADJUSTING THE STRETCHER - ARC Model</t>
  </si>
  <si>
    <t xml:space="preserve">sweep angle </t>
  </si>
  <si>
    <t>distance handles behind the work (cm)</t>
  </si>
  <si>
    <t>distance handles behind the work at catch (cm)</t>
  </si>
  <si>
    <t>Arc (cm) = 0.297865* Height (cm) + 108.387</t>
  </si>
  <si>
    <t>Stretcher movement and handle positions</t>
  </si>
  <si>
    <t>4) b) REDUCING THE SPAN AND INBOARD "EQUALLY"WHILST NOT MOVING THE STRETCHER SO DISTANCE BETWEEN HANDLES CHANGES - SHOULDERS AND ARMS model</t>
  </si>
  <si>
    <t>4) a) REDUCING THE SPAN AND INBOARD "EQUALLY" WHILST NOT MOVING THE STRETCHER - ARC Model</t>
  </si>
  <si>
    <t>Options to consider</t>
  </si>
  <si>
    <t>span</t>
  </si>
  <si>
    <t>varied</t>
  </si>
  <si>
    <t>fixed</t>
  </si>
  <si>
    <t>distance between handles at finish</t>
  </si>
  <si>
    <t>stretcher position</t>
  </si>
  <si>
    <t>adjusted</t>
  </si>
  <si>
    <t>inboard</t>
  </si>
  <si>
    <t>Option number</t>
  </si>
  <si>
    <t>equally</t>
  </si>
  <si>
    <t>changes</t>
  </si>
  <si>
    <t>finish angle</t>
  </si>
  <si>
    <t>catch angle</t>
  </si>
  <si>
    <t>sweep angle</t>
  </si>
  <si>
    <t>results as span is reduced</t>
  </si>
  <si>
    <t>increases</t>
  </si>
  <si>
    <t>no change</t>
  </si>
  <si>
    <t>catch angle change degrees per 1 cm change</t>
  </si>
  <si>
    <t>finish angle change degrees per 1 cm change</t>
  </si>
  <si>
    <t>sweep angle change degrees per 1 cm change</t>
  </si>
  <si>
    <t>so the 17 deg droop of the looms increases the finish angle by 1.5 degrees so we will ignore this for now</t>
  </si>
  <si>
    <t>5) a) FIXING THE SPAN AND DISTANCE BETWEEN HANDLES WHILST VARYING THE INBOARD AND ADJUSTING THE STRETCHER - ARC Model</t>
  </si>
  <si>
    <t>5) b)  FIXING THE SPAN AND DISTANCE BETWEEN HANDLES WHILST VARYING THE INBOARD AND ADJUSTING THE STRETCHER - SHOULDERS AND ARMS model</t>
  </si>
  <si>
    <t>6) b)FIXING THE SPAN AND STRETCHER POSITION, VARYING THE INBOARD - SHOULDERS AND ARMS model</t>
  </si>
  <si>
    <t>6) a) FIXING THE SPAN AND STRETCHER POSITION, VARYING THE INBOARD  - ARC Model</t>
  </si>
  <si>
    <t>finish angle change</t>
  </si>
  <si>
    <t>Inboard + 2 (cm)</t>
  </si>
  <si>
    <t>half of span - distance between handles (cm)</t>
  </si>
  <si>
    <t>change in distance between handles (cm / cm)</t>
  </si>
  <si>
    <t>span change (cm)</t>
  </si>
  <si>
    <t>inboard change</t>
  </si>
  <si>
    <t>changes due to 1 cm reductions in span or inboard</t>
  </si>
  <si>
    <t>decreases</t>
  </si>
  <si>
    <t>Stretcher adjustment to bow (cm / cm)</t>
  </si>
  <si>
    <t>SHOULDER AND ARMS Model</t>
  </si>
  <si>
    <t>ARC model</t>
  </si>
  <si>
    <t>Sweep angle  degrees changes</t>
  </si>
  <si>
    <t>what we might do</t>
  </si>
  <si>
    <t>the "adjust one thing at a time"</t>
  </si>
  <si>
    <t>What we should do</t>
  </si>
  <si>
    <t>not worth doing</t>
  </si>
  <si>
    <t>change in distance between handles at finish (cm / cm)</t>
  </si>
  <si>
    <t>Don't do, sculler may capsize</t>
  </si>
  <si>
    <t xml:space="preserve">Description of results using SHOULDERS AND ARMS model which is a little more accurate that the ARC model in the catch angle calculation.  </t>
  </si>
  <si>
    <r>
      <t xml:space="preserve">2) adjusting span and fixing stretcher increases catch and sweep, finish angle constant but hands closer together </t>
    </r>
    <r>
      <rPr>
        <sz val="11"/>
        <color rgb="FFFF0000"/>
        <rFont val="Calibri"/>
        <family val="2"/>
        <scheme val="minor"/>
      </rPr>
      <t>so not a good solution</t>
    </r>
    <r>
      <rPr>
        <sz val="11"/>
        <color theme="1"/>
        <rFont val="Calibri"/>
        <family val="2"/>
        <scheme val="minor"/>
      </rPr>
      <t>.</t>
    </r>
  </si>
  <si>
    <r>
      <t>4) adjusting span and inboard equally and fixing stretcher increases all angles but</t>
    </r>
    <r>
      <rPr>
        <sz val="11"/>
        <color rgb="FFFF0000"/>
        <rFont val="Calibri"/>
        <family val="2"/>
        <scheme val="minor"/>
      </rPr>
      <t xml:space="preserve"> hands at finish wider appart </t>
    </r>
    <r>
      <rPr>
        <sz val="11"/>
        <color theme="1"/>
        <rFont val="Calibri"/>
        <family val="2"/>
        <scheme val="minor"/>
      </rPr>
      <t>so not as good as 3</t>
    </r>
  </si>
  <si>
    <r>
      <t>6) adjusting inboard and fixing stretcher increases all angles</t>
    </r>
    <r>
      <rPr>
        <sz val="11"/>
        <color rgb="FFFF0000"/>
        <rFont val="Calibri"/>
        <family val="2"/>
        <scheme val="minor"/>
      </rPr>
      <t xml:space="preserve"> but hands too far apart at finish for a strong finish</t>
    </r>
  </si>
  <si>
    <r>
      <t>1) adjusting span and stretcher to keep hands finish the same</t>
    </r>
    <r>
      <rPr>
        <sz val="11"/>
        <color rgb="FFFF0000"/>
        <rFont val="Calibri"/>
        <family val="2"/>
        <scheme val="minor"/>
      </rPr>
      <t xml:space="preserve"> doesn't work</t>
    </r>
    <r>
      <rPr>
        <sz val="11"/>
        <color theme="1"/>
        <rFont val="Calibri"/>
        <family val="2"/>
        <scheme val="minor"/>
      </rPr>
      <t xml:space="preserve"> but produces small reductions in catch and sweep as stretcher is moved to bow</t>
    </r>
  </si>
  <si>
    <t xml:space="preserve">5) span constant, reducing inboard and adjusting stretcher for same hands finish increases catch angle, reduces finish angle so little change to sweep </t>
  </si>
  <si>
    <t>difference in models</t>
  </si>
  <si>
    <t>calc</t>
  </si>
  <si>
    <r>
      <t xml:space="preserve">3) adjusting span and inboard equally and keeping hands at finish same works with increases in all angles. </t>
    </r>
    <r>
      <rPr>
        <sz val="11"/>
        <color rgb="FF00B050"/>
        <rFont val="Calibri"/>
        <family val="2"/>
        <scheme val="minor"/>
      </rPr>
      <t>NB for 1 cm inboard change sweep change is 1.64 deg for 183 cm athlete</t>
    </r>
  </si>
  <si>
    <t>Change</t>
  </si>
  <si>
    <t>calculated</t>
  </si>
  <si>
    <t>OK But not as good as 3</t>
  </si>
  <si>
    <t>GRAPH CELLS</t>
  </si>
  <si>
    <t>% changes</t>
  </si>
  <si>
    <t>distance to move stretcher to stern (cm)</t>
  </si>
  <si>
    <t>Change in catch angle (deg)</t>
  </si>
  <si>
    <t>Change in finish angle (deg)</t>
  </si>
  <si>
    <t>Change in sweep angle (deg)</t>
  </si>
  <si>
    <t>7) a) FIXING THE SPAN AND INBOARD  WHILST VARYING THE STRETCHER SO DISTANCE BETWEEN HANDLES CHANGES - ARC Model</t>
  </si>
  <si>
    <t>7) a) FIXING THE SPAN AND INBOARD  WHILST VARYING THE STRETCHER SO DISTANCE BETWEEN HANDLES CHANGES - SHOULDERS AND ARMS Model</t>
  </si>
  <si>
    <t>Stretcher movement to stern (cm)</t>
  </si>
  <si>
    <t>8) a) FIXING THE INBOARD AND ADJUSTING THE SPAN WHILST VARYING THE STRETCHER SO DISTANCE BETWEEN THE HANDLES IS FIXED  - ARC Model</t>
  </si>
  <si>
    <t>Change in span (cm)</t>
  </si>
  <si>
    <t>change in overlap (cm)</t>
  </si>
  <si>
    <t>7) b) FIXING THE SPAN AND INBOARD  WHILST VARYING THE STRETCHER SO DISTANCE BETWEEN HANDLES CHANGES - SHOULDERS AND ARMS Model</t>
  </si>
  <si>
    <t>8) b)FIXING THE INBOARD AND ADJUSTING THE SPAN WHILST VARYING THE STRETCHER SO DISTANCE BETWEEN THE HANDLES IS FIXED  - Shoulders and Arms Model</t>
  </si>
  <si>
    <t>9) a) FIXING THE SPAN  AND ADJUSTING THE INBOARD WHILST VARYING THE STRETCHER SO DISTANCE BETWEEN THE HANDLES IS FIXED  - ARC Model</t>
  </si>
  <si>
    <t>9) B) FIXING THE SPAN  AND ADJUSTING THE INBOARD WHILST VARYING THE STRETCHER SO DISTANCE BETWEEN THE HANDLES IS FIXED  - Shoulders and Arms Model</t>
  </si>
  <si>
    <t>1) a) REDUCING THE SPREAD WHILST KEEPING HANDLE AT FINISH POSITION CONSTANT BY ADJUSTING THE STRETCHER - ARC model</t>
  </si>
  <si>
    <t>distance handle behind the work at catch (cm)</t>
  </si>
  <si>
    <t>2) a) REDUCING THE SPREAD WHILST NOT MOVING THE STRETCHER FINISH POSITION OF CENTRE OF HANDLE MOVES - ARC Model</t>
  </si>
  <si>
    <t>overlap of centre line of boat (cm)</t>
  </si>
  <si>
    <t>Athlete outside arm lenght (cm)</t>
  </si>
  <si>
    <t>Outboard (cm)</t>
  </si>
  <si>
    <t>gearing</t>
  </si>
  <si>
    <t>spoon lgth</t>
  </si>
  <si>
    <t>6) a) FIXING THE SPAN AND STRETCHER POSITION, REDUCING THE INBOARD  - ARC Model</t>
  </si>
  <si>
    <t>6) b)FIXING THE SPAN AND STRETCHER POSITION, REDUCING THE INBOARD - SHOULDERS AND ARMS model</t>
  </si>
  <si>
    <t>Change in inboard (cm)</t>
  </si>
  <si>
    <t>used when setting the stretcher</t>
  </si>
  <si>
    <t>we don't do.</t>
  </si>
  <si>
    <t>angle changes as span is reduced &amp; stretcher moved to stern</t>
  </si>
  <si>
    <t>small decrease</t>
  </si>
  <si>
    <t>small increase</t>
  </si>
  <si>
    <t>decrease</t>
  </si>
  <si>
    <t>increase</t>
  </si>
  <si>
    <t xml:space="preserve">decrease </t>
  </si>
  <si>
    <t>biggest increase</t>
  </si>
  <si>
    <t>2nd biggest increase</t>
  </si>
  <si>
    <t>changes due to 1 cm reductions in span or inboard or stretcher movement</t>
  </si>
  <si>
    <t>Fixed and varied are the independent variable.  Changes or  adjusted are dependent variables.</t>
  </si>
  <si>
    <t>inboard change (cm)</t>
  </si>
  <si>
    <t>degrees change per 5 cm</t>
  </si>
  <si>
    <t>Stretcher adjustment to stern (cm / cm)</t>
  </si>
  <si>
    <t>1) a) REDUCING THE SPAN WHILST KEEPING INBOARD &amp; DISTANCE BETWEEN HANDLES AT FINISH CONSTANT BY ADJUSTING THE STRETCHER - ARC model</t>
  </si>
  <si>
    <t>1( b) REDUCING THE SPAN WHILST KEEPING INBOARD &amp; DISTANCE BETWEEN HANDLES AT FINISH CONSTANT BY ADJUSTING THE STRETCHER - SHOULDERS AND ARMS Model</t>
  </si>
  <si>
    <t>2) a) REDUCING THE SPAN, INBOARD FIXED, WHILST NOT MOVING THE STRETCHER SO DISTANCE BETWEEN HANDLES CHANGES - ARC Model</t>
  </si>
  <si>
    <t>2) b) REDUCING THE SPAN, INBOARD FIXED, WHILST NOT MOVING THE STRETCHER SO DISTANCE BETWEEN HANDLES CHANGES - SHOULDERS AND ARMS model</t>
  </si>
  <si>
    <t>reduced</t>
  </si>
  <si>
    <t>to stern</t>
  </si>
  <si>
    <r>
      <t xml:space="preserve">2) Fixed inboard, reducing span and fixing stretcher increases catch and sweep, finish angle constant but hands closer together </t>
    </r>
    <r>
      <rPr>
        <sz val="11"/>
        <color rgb="FFFF0000"/>
        <rFont val="Calibri"/>
        <family val="2"/>
        <scheme val="minor"/>
      </rPr>
      <t>so not a good solution</t>
    </r>
    <r>
      <rPr>
        <sz val="11"/>
        <color theme="1"/>
        <rFont val="Calibri"/>
        <family val="2"/>
        <scheme val="minor"/>
      </rPr>
      <t>.</t>
    </r>
  </si>
  <si>
    <r>
      <t>4) reducing span and inboard equally and fixing stretcher increases all angles but</t>
    </r>
    <r>
      <rPr>
        <sz val="11"/>
        <color rgb="FFFF0000"/>
        <rFont val="Calibri"/>
        <family val="2"/>
        <scheme val="minor"/>
      </rPr>
      <t xml:space="preserve"> hands at finish wider apart </t>
    </r>
    <r>
      <rPr>
        <sz val="11"/>
        <color theme="1"/>
        <rFont val="Calibri"/>
        <family val="2"/>
        <scheme val="minor"/>
      </rPr>
      <t>so not as good as 3</t>
    </r>
  </si>
  <si>
    <r>
      <t>6) fixed span, reducing inboard and fixing stretcher increases all angles</t>
    </r>
    <r>
      <rPr>
        <sz val="11"/>
        <color rgb="FFFF0000"/>
        <rFont val="Calibri"/>
        <family val="2"/>
        <scheme val="minor"/>
      </rPr>
      <t xml:space="preserve"> but hands too far apart at finish for a strong finish</t>
    </r>
  </si>
  <si>
    <t>7) fixed span, moving the stretcher to stern, with span and inboard fixed, reduces the finish angle and increases the catch angle, sweep decreasing marginally</t>
  </si>
  <si>
    <t>8) fixed inboard, moving stretcher to stern , keeping  distance between the handles fixed, requires span to be increased doubly and catch angle increase, finish decrease, sweep small decrease</t>
  </si>
  <si>
    <t>Don't do, sculler may capsize at finish</t>
  </si>
  <si>
    <t>9)  fixed span and distance between handles , moving stretcher to the stern,  requires inboard to be reduced, increases catch and sweep angles and reduces finish angle</t>
  </si>
  <si>
    <t>Worth doing if you want to increase catch and reduce finish and overlap.</t>
  </si>
  <si>
    <t>in .ppt</t>
  </si>
  <si>
    <r>
      <t>1) fixed inboard, reducing span and adjusting stretcher to keep hands finish the same</t>
    </r>
    <r>
      <rPr>
        <sz val="11"/>
        <color rgb="FFFF0000"/>
        <rFont val="Calibri"/>
        <family val="2"/>
        <scheme val="minor"/>
      </rPr>
      <t xml:space="preserve"> doesn't work</t>
    </r>
    <r>
      <rPr>
        <sz val="11"/>
        <color theme="1"/>
        <rFont val="Calibri"/>
        <family val="2"/>
        <scheme val="minor"/>
      </rPr>
      <t xml:space="preserve"> but produces small reductions in catch and sweep as stretcher is moved to bow</t>
    </r>
  </si>
  <si>
    <r>
      <t xml:space="preserve">3) reducing span and inboard equally and adjusting stretcher to keep hands at finish same works with increases in all angles. </t>
    </r>
    <r>
      <rPr>
        <sz val="11"/>
        <color rgb="FF00B050"/>
        <rFont val="Calibri"/>
        <family val="2"/>
        <scheme val="minor"/>
      </rPr>
      <t>NB for 1 cm inboard change sweep change is 1.64 deg for 183 cm athlete</t>
    </r>
  </si>
  <si>
    <t>5) fixed span , reducing inboard and adjusting stretcher for same hands finish gives biggest increase in catch angle, but reduces finish angle so some increase in sweep angle.</t>
  </si>
  <si>
    <t>sum of behind and thru' the work</t>
  </si>
  <si>
    <t>Oar length (cm)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</si>
</sst>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%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1"/>
      <color rgb="FF0070C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9B4E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6" fillId="10" borderId="7" applyNumberFormat="0" applyAlignment="0" applyProtection="0"/>
  </cellStyleXfs>
  <cellXfs count="255">
    <xf numFmtId="0" fontId="0" fillId="0" borderId="0" xfId="0"/>
    <xf numFmtId="0" fontId="0" fillId="2" borderId="1" xfId="0" applyFill="1" applyBorder="1"/>
    <xf numFmtId="0" fontId="0" fillId="0" borderId="1" xfId="0" applyBorder="1"/>
    <xf numFmtId="164" fontId="0" fillId="0" borderId="1" xfId="0" applyNumberFormat="1" applyBorder="1"/>
    <xf numFmtId="2" fontId="0" fillId="0" borderId="1" xfId="0" applyNumberFormat="1" applyBorder="1"/>
    <xf numFmtId="0" fontId="0" fillId="0" borderId="0" xfId="0" applyFill="1" applyBorder="1"/>
    <xf numFmtId="0" fontId="0" fillId="0" borderId="0" xfId="0" applyBorder="1"/>
    <xf numFmtId="164" fontId="0" fillId="0" borderId="0" xfId="0" applyNumberFormat="1" applyBorder="1"/>
    <xf numFmtId="2" fontId="0" fillId="0" borderId="0" xfId="0" applyNumberFormat="1" applyBorder="1"/>
    <xf numFmtId="164" fontId="0" fillId="3" borderId="1" xfId="0" applyNumberFormat="1" applyFill="1" applyBorder="1"/>
    <xf numFmtId="0" fontId="0" fillId="0" borderId="1" xfId="0" applyBorder="1" applyAlignment="1">
      <alignment horizontal="center" wrapText="1"/>
    </xf>
    <xf numFmtId="164" fontId="0" fillId="5" borderId="1" xfId="0" applyNumberFormat="1" applyFill="1" applyBorder="1"/>
    <xf numFmtId="0" fontId="0" fillId="0" borderId="0" xfId="0" applyFill="1"/>
    <xf numFmtId="164" fontId="0" fillId="0" borderId="0" xfId="0" applyNumberFormat="1" applyFill="1" applyBorder="1"/>
    <xf numFmtId="2" fontId="0" fillId="0" borderId="0" xfId="0" applyNumberFormat="1" applyFill="1"/>
    <xf numFmtId="0" fontId="1" fillId="0" borderId="0" xfId="0" applyFont="1"/>
    <xf numFmtId="0" fontId="2" fillId="0" borderId="0" xfId="0" applyFont="1"/>
    <xf numFmtId="0" fontId="4" fillId="0" borderId="0" xfId="0" applyFont="1"/>
    <xf numFmtId="164" fontId="0" fillId="6" borderId="1" xfId="0" applyNumberFormat="1" applyFill="1" applyBorder="1"/>
    <xf numFmtId="0" fontId="0" fillId="6" borderId="0" xfId="0" applyFill="1"/>
    <xf numFmtId="0" fontId="0" fillId="0" borderId="1" xfId="0" applyFill="1" applyBorder="1"/>
    <xf numFmtId="164" fontId="0" fillId="0" borderId="1" xfId="0" applyNumberFormat="1" applyFill="1" applyBorder="1"/>
    <xf numFmtId="9" fontId="0" fillId="2" borderId="1" xfId="1" applyFont="1" applyFill="1" applyBorder="1"/>
    <xf numFmtId="9" fontId="0" fillId="0" borderId="1" xfId="1" applyFont="1" applyFill="1" applyBorder="1"/>
    <xf numFmtId="0" fontId="0" fillId="0" borderId="1" xfId="0" applyBorder="1" applyAlignment="1">
      <alignment horizontal="left" textRotation="90" wrapText="1"/>
    </xf>
    <xf numFmtId="0" fontId="0" fillId="0" borderId="0" xfId="0" applyAlignment="1">
      <alignment horizontal="left" textRotation="90" wrapText="1"/>
    </xf>
    <xf numFmtId="0" fontId="0" fillId="0" borderId="0" xfId="0" applyFill="1" applyAlignment="1">
      <alignment horizontal="left" textRotation="90" wrapText="1"/>
    </xf>
    <xf numFmtId="0" fontId="0" fillId="0" borderId="0" xfId="0" applyAlignment="1">
      <alignment horizontal="center" textRotation="90" wrapText="1"/>
    </xf>
    <xf numFmtId="0" fontId="0" fillId="0" borderId="1" xfId="0" applyBorder="1" applyAlignment="1">
      <alignment horizontal="center" textRotation="90" wrapText="1"/>
    </xf>
    <xf numFmtId="0" fontId="0" fillId="0" borderId="1" xfId="0" applyFill="1" applyBorder="1" applyAlignment="1">
      <alignment horizontal="center" textRotation="90" wrapText="1"/>
    </xf>
    <xf numFmtId="0" fontId="0" fillId="3" borderId="1" xfId="0" applyFill="1" applyBorder="1" applyAlignment="1">
      <alignment horizontal="center" textRotation="90" wrapText="1"/>
    </xf>
    <xf numFmtId="0" fontId="0" fillId="5" borderId="1" xfId="0" applyFill="1" applyBorder="1" applyAlignment="1">
      <alignment horizontal="center" textRotation="90" wrapText="1"/>
    </xf>
    <xf numFmtId="0" fontId="5" fillId="2" borderId="1" xfId="0" applyFont="1" applyFill="1" applyBorder="1" applyAlignment="1">
      <alignment horizontal="center" textRotation="90" wrapText="1"/>
    </xf>
    <xf numFmtId="0" fontId="0" fillId="2" borderId="1" xfId="0" applyFill="1" applyBorder="1" applyAlignment="1">
      <alignment horizontal="center" textRotation="90" wrapText="1"/>
    </xf>
    <xf numFmtId="0" fontId="0" fillId="7" borderId="1" xfId="0" applyFill="1" applyBorder="1" applyAlignment="1">
      <alignment horizontal="center" textRotation="90" wrapText="1"/>
    </xf>
    <xf numFmtId="0" fontId="0" fillId="0" borderId="0" xfId="0" applyAlignment="1">
      <alignment horizontal="center" textRotation="90"/>
    </xf>
    <xf numFmtId="0" fontId="1" fillId="2" borderId="1" xfId="0" applyFont="1" applyFill="1" applyBorder="1"/>
    <xf numFmtId="164" fontId="1" fillId="6" borderId="1" xfId="0" applyNumberFormat="1" applyFont="1" applyFill="1" applyBorder="1"/>
    <xf numFmtId="0" fontId="1" fillId="0" borderId="1" xfId="0" applyFont="1" applyFill="1" applyBorder="1"/>
    <xf numFmtId="164" fontId="1" fillId="0" borderId="1" xfId="0" applyNumberFormat="1" applyFont="1" applyBorder="1"/>
    <xf numFmtId="164" fontId="1" fillId="0" borderId="1" xfId="0" applyNumberFormat="1" applyFont="1" applyFill="1" applyBorder="1"/>
    <xf numFmtId="164" fontId="1" fillId="5" borderId="1" xfId="0" applyNumberFormat="1" applyFont="1" applyFill="1" applyBorder="1"/>
    <xf numFmtId="9" fontId="1" fillId="2" borderId="1" xfId="1" applyFont="1" applyFill="1" applyBorder="1"/>
    <xf numFmtId="0" fontId="1" fillId="0" borderId="1" xfId="0" applyFont="1" applyBorder="1"/>
    <xf numFmtId="164" fontId="1" fillId="3" borderId="1" xfId="0" applyNumberFormat="1" applyFont="1" applyFill="1" applyBorder="1"/>
    <xf numFmtId="164" fontId="1" fillId="0" borderId="0" xfId="0" applyNumberFormat="1" applyFont="1" applyFill="1" applyBorder="1"/>
    <xf numFmtId="0" fontId="0" fillId="5" borderId="4" xfId="0" applyFill="1" applyBorder="1" applyAlignment="1">
      <alignment horizontal="center" textRotation="90" wrapText="1"/>
    </xf>
    <xf numFmtId="0" fontId="0" fillId="8" borderId="0" xfId="0" applyFill="1"/>
    <xf numFmtId="0" fontId="0" fillId="0" borderId="4" xfId="0" applyBorder="1" applyAlignment="1">
      <alignment horizontal="center" textRotation="90" wrapText="1"/>
    </xf>
    <xf numFmtId="164" fontId="0" fillId="0" borderId="1" xfId="0" applyNumberFormat="1" applyFont="1" applyBorder="1"/>
    <xf numFmtId="0" fontId="0" fillId="0" borderId="4" xfId="0" applyBorder="1" applyAlignment="1">
      <alignment horizontal="left" textRotation="90" wrapText="1"/>
    </xf>
    <xf numFmtId="2" fontId="0" fillId="3" borderId="1" xfId="0" applyNumberFormat="1" applyFill="1" applyBorder="1"/>
    <xf numFmtId="2" fontId="1" fillId="0" borderId="1" xfId="0" applyNumberFormat="1" applyFont="1" applyBorder="1"/>
    <xf numFmtId="2" fontId="1" fillId="3" borderId="1" xfId="0" applyNumberFormat="1" applyFont="1" applyFill="1" applyBorder="1"/>
    <xf numFmtId="2" fontId="1" fillId="7" borderId="1" xfId="0" applyNumberFormat="1" applyFont="1" applyFill="1" applyBorder="1"/>
    <xf numFmtId="164" fontId="0" fillId="3" borderId="0" xfId="0" applyNumberFormat="1" applyFill="1" applyBorder="1" applyAlignment="1">
      <alignment horizontal="center" textRotation="90" wrapText="1"/>
    </xf>
    <xf numFmtId="0" fontId="0" fillId="9" borderId="1" xfId="0" applyFill="1" applyBorder="1" applyAlignment="1">
      <alignment horizontal="left" textRotation="90" wrapText="1"/>
    </xf>
    <xf numFmtId="0" fontId="0" fillId="0" borderId="5" xfId="0" applyBorder="1"/>
    <xf numFmtId="0" fontId="2" fillId="0" borderId="5" xfId="0" applyFont="1" applyBorder="1"/>
    <xf numFmtId="0" fontId="0" fillId="0" borderId="0" xfId="0"/>
    <xf numFmtId="0" fontId="0" fillId="2" borderId="1" xfId="0" applyFill="1" applyBorder="1"/>
    <xf numFmtId="164" fontId="0" fillId="0" borderId="1" xfId="0" applyNumberFormat="1" applyBorder="1"/>
    <xf numFmtId="164" fontId="0" fillId="5" borderId="1" xfId="0" applyNumberFormat="1" applyFill="1" applyBorder="1"/>
    <xf numFmtId="164" fontId="0" fillId="0" borderId="1" xfId="0" applyNumberFormat="1" applyFill="1" applyBorder="1"/>
    <xf numFmtId="2" fontId="0" fillId="7" borderId="1" xfId="0" applyNumberFormat="1" applyFill="1" applyBorder="1"/>
    <xf numFmtId="0" fontId="0" fillId="0" borderId="1" xfId="0" applyFill="1" applyBorder="1" applyAlignment="1">
      <alignment horizontal="center" textRotation="90" wrapText="1"/>
    </xf>
    <xf numFmtId="0" fontId="0" fillId="3" borderId="1" xfId="0" applyFill="1" applyBorder="1" applyAlignment="1">
      <alignment horizontal="center" textRotation="90" wrapText="1"/>
    </xf>
    <xf numFmtId="0" fontId="0" fillId="2" borderId="1" xfId="0" applyFill="1" applyBorder="1" applyAlignment="1">
      <alignment horizontal="center" textRotation="90" wrapText="1"/>
    </xf>
    <xf numFmtId="0" fontId="0" fillId="7" borderId="1" xfId="0" applyFill="1" applyBorder="1" applyAlignment="1">
      <alignment horizontal="center" textRotation="90" wrapText="1"/>
    </xf>
    <xf numFmtId="2" fontId="0" fillId="3" borderId="1" xfId="0" applyNumberFormat="1" applyFill="1" applyBorder="1"/>
    <xf numFmtId="2" fontId="1" fillId="3" borderId="1" xfId="0" applyNumberFormat="1" applyFont="1" applyFill="1" applyBorder="1"/>
    <xf numFmtId="2" fontId="1" fillId="7" borderId="1" xfId="0" applyNumberFormat="1" applyFont="1" applyFill="1" applyBorder="1"/>
    <xf numFmtId="164" fontId="0" fillId="2" borderId="1" xfId="0" applyNumberFormat="1" applyFill="1" applyBorder="1"/>
    <xf numFmtId="0" fontId="0" fillId="9" borderId="1" xfId="0" applyFill="1" applyBorder="1" applyAlignment="1">
      <alignment horizontal="left" textRotation="90" wrapText="1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left" textRotation="90" wrapText="1"/>
    </xf>
    <xf numFmtId="0" fontId="0" fillId="3" borderId="1" xfId="0" applyFill="1" applyBorder="1"/>
    <xf numFmtId="0" fontId="0" fillId="2" borderId="1" xfId="0" applyFill="1" applyBorder="1" applyAlignment="1">
      <alignment horizontal="left" textRotation="90" wrapText="1"/>
    </xf>
    <xf numFmtId="2" fontId="0" fillId="2" borderId="1" xfId="0" applyNumberFormat="1" applyFill="1" applyBorder="1"/>
    <xf numFmtId="1" fontId="0" fillId="0" borderId="1" xfId="0" applyNumberFormat="1" applyBorder="1"/>
    <xf numFmtId="2" fontId="5" fillId="3" borderId="1" xfId="0" applyNumberFormat="1" applyFont="1" applyFill="1" applyBorder="1"/>
    <xf numFmtId="2" fontId="0" fillId="3" borderId="1" xfId="0" applyNumberFormat="1" applyFill="1" applyBorder="1" applyProtection="1"/>
    <xf numFmtId="0" fontId="0" fillId="3" borderId="8" xfId="0" applyFill="1" applyBorder="1"/>
    <xf numFmtId="164" fontId="0" fillId="5" borderId="1" xfId="0" applyNumberFormat="1" applyFont="1" applyFill="1" applyBorder="1"/>
    <xf numFmtId="164" fontId="0" fillId="3" borderId="1" xfId="0" applyNumberFormat="1" applyFont="1" applyFill="1" applyBorder="1"/>
    <xf numFmtId="0" fontId="0" fillId="0" borderId="0" xfId="0" applyAlignment="1">
      <alignment wrapText="1"/>
    </xf>
    <xf numFmtId="0" fontId="0" fillId="0" borderId="9" xfId="0" applyBorder="1"/>
    <xf numFmtId="0" fontId="0" fillId="0" borderId="9" xfId="0" applyFill="1" applyBorder="1"/>
    <xf numFmtId="2" fontId="0" fillId="0" borderId="9" xfId="0" applyNumberFormat="1" applyBorder="1"/>
    <xf numFmtId="164" fontId="0" fillId="0" borderId="9" xfId="0" applyNumberFormat="1" applyBorder="1"/>
    <xf numFmtId="0" fontId="0" fillId="0" borderId="10" xfId="0" applyFill="1" applyBorder="1"/>
    <xf numFmtId="164" fontId="0" fillId="6" borderId="10" xfId="0" applyNumberFormat="1" applyFill="1" applyBorder="1"/>
    <xf numFmtId="164" fontId="0" fillId="0" borderId="10" xfId="0" applyNumberFormat="1" applyBorder="1"/>
    <xf numFmtId="2" fontId="0" fillId="3" borderId="10" xfId="0" applyNumberFormat="1" applyFill="1" applyBorder="1"/>
    <xf numFmtId="164" fontId="0" fillId="0" borderId="10" xfId="0" applyNumberFormat="1" applyFill="1" applyBorder="1"/>
    <xf numFmtId="164" fontId="0" fillId="5" borderId="10" xfId="0" applyNumberFormat="1" applyFill="1" applyBorder="1"/>
    <xf numFmtId="9" fontId="0" fillId="0" borderId="10" xfId="1" applyFont="1" applyFill="1" applyBorder="1"/>
    <xf numFmtId="2" fontId="0" fillId="0" borderId="10" xfId="0" applyNumberFormat="1" applyBorder="1"/>
    <xf numFmtId="2" fontId="0" fillId="7" borderId="10" xfId="0" applyNumberFormat="1" applyFill="1" applyBorder="1"/>
    <xf numFmtId="0" fontId="0" fillId="6" borderId="9" xfId="0" applyFill="1" applyBorder="1"/>
    <xf numFmtId="164" fontId="0" fillId="0" borderId="9" xfId="0" applyNumberFormat="1" applyFill="1" applyBorder="1"/>
    <xf numFmtId="2" fontId="0" fillId="0" borderId="9" xfId="0" applyNumberFormat="1" applyFill="1" applyBorder="1"/>
    <xf numFmtId="1" fontId="0" fillId="0" borderId="0" xfId="0" applyNumberFormat="1" applyFill="1" applyBorder="1"/>
    <xf numFmtId="9" fontId="0" fillId="0" borderId="0" xfId="1" applyFont="1" applyFill="1" applyBorder="1"/>
    <xf numFmtId="2" fontId="0" fillId="0" borderId="0" xfId="0" applyNumberFormat="1" applyFill="1" applyBorder="1"/>
    <xf numFmtId="164" fontId="0" fillId="3" borderId="10" xfId="0" applyNumberFormat="1" applyFill="1" applyBorder="1"/>
    <xf numFmtId="9" fontId="0" fillId="0" borderId="9" xfId="1" applyFont="1" applyFill="1" applyBorder="1"/>
    <xf numFmtId="0" fontId="0" fillId="0" borderId="0" xfId="0" applyFont="1" applyFill="1" applyBorder="1"/>
    <xf numFmtId="164" fontId="0" fillId="0" borderId="0" xfId="0" applyNumberFormat="1" applyFont="1" applyFill="1" applyBorder="1"/>
    <xf numFmtId="2" fontId="1" fillId="0" borderId="0" xfId="0" applyNumberFormat="1" applyFont="1" applyFill="1" applyBorder="1"/>
    <xf numFmtId="0" fontId="0" fillId="0" borderId="9" xfId="0" applyFont="1" applyFill="1" applyBorder="1"/>
    <xf numFmtId="164" fontId="0" fillId="0" borderId="9" xfId="0" applyNumberFormat="1" applyFont="1" applyFill="1" applyBorder="1"/>
    <xf numFmtId="164" fontId="1" fillId="0" borderId="9" xfId="0" applyNumberFormat="1" applyFont="1" applyFill="1" applyBorder="1"/>
    <xf numFmtId="2" fontId="1" fillId="0" borderId="9" xfId="0" applyNumberFormat="1" applyFont="1" applyFill="1" applyBorder="1"/>
    <xf numFmtId="0" fontId="0" fillId="5" borderId="1" xfId="0" applyFill="1" applyBorder="1" applyAlignment="1">
      <alignment horizontal="left" textRotation="90" wrapText="1"/>
    </xf>
    <xf numFmtId="2" fontId="0" fillId="5" borderId="1" xfId="0" applyNumberFormat="1" applyFill="1" applyBorder="1"/>
    <xf numFmtId="2" fontId="5" fillId="5" borderId="1" xfId="0" applyNumberFormat="1" applyFont="1" applyFill="1" applyBorder="1"/>
    <xf numFmtId="0" fontId="0" fillId="4" borderId="1" xfId="0" applyFill="1" applyBorder="1" applyAlignment="1">
      <alignment horizontal="left" textRotation="90" wrapText="1"/>
    </xf>
    <xf numFmtId="2" fontId="0" fillId="4" borderId="1" xfId="0" applyNumberFormat="1" applyFill="1" applyBorder="1"/>
    <xf numFmtId="2" fontId="5" fillId="4" borderId="1" xfId="0" applyNumberFormat="1" applyFont="1" applyFill="1" applyBorder="1"/>
    <xf numFmtId="2" fontId="1" fillId="0" borderId="1" xfId="0" applyNumberFormat="1" applyFont="1" applyFill="1" applyBorder="1"/>
    <xf numFmtId="2" fontId="0" fillId="3" borderId="1" xfId="0" applyNumberFormat="1" applyFont="1" applyFill="1" applyBorder="1"/>
    <xf numFmtId="2" fontId="0" fillId="0" borderId="1" xfId="0" applyNumberFormat="1" applyFill="1" applyBorder="1"/>
    <xf numFmtId="164" fontId="1" fillId="0" borderId="0" xfId="0" applyNumberFormat="1" applyFont="1"/>
    <xf numFmtId="164" fontId="0" fillId="0" borderId="0" xfId="0" applyNumberFormat="1"/>
    <xf numFmtId="0" fontId="0" fillId="0" borderId="4" xfId="0" applyFill="1" applyBorder="1" applyAlignment="1">
      <alignment horizontal="center" textRotation="90" wrapText="1"/>
    </xf>
    <xf numFmtId="2" fontId="0" fillId="0" borderId="0" xfId="0" applyNumberFormat="1" applyAlignment="1">
      <alignment horizontal="center" wrapText="1"/>
    </xf>
    <xf numFmtId="164" fontId="0" fillId="0" borderId="0" xfId="0" applyNumberFormat="1" applyAlignment="1">
      <alignment horizontal="center" wrapText="1"/>
    </xf>
    <xf numFmtId="164" fontId="0" fillId="0" borderId="1" xfId="0" applyNumberFormat="1" applyBorder="1" applyAlignment="1">
      <alignment horizontal="center" wrapText="1"/>
    </xf>
    <xf numFmtId="2" fontId="0" fillId="0" borderId="1" xfId="0" applyNumberFormat="1" applyBorder="1" applyAlignment="1">
      <alignment horizontal="center" textRotation="90" wrapText="1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 wrapText="1"/>
    </xf>
    <xf numFmtId="164" fontId="0" fillId="0" borderId="1" xfId="0" applyNumberFormat="1" applyBorder="1" applyAlignment="1">
      <alignment horizontal="center" textRotation="90" wrapText="1"/>
    </xf>
    <xf numFmtId="165" fontId="0" fillId="0" borderId="1" xfId="1" applyNumberFormat="1" applyFont="1" applyBorder="1" applyAlignment="1">
      <alignment horizontal="center" wrapText="1"/>
    </xf>
    <xf numFmtId="9" fontId="0" fillId="0" borderId="1" xfId="1" applyFont="1" applyBorder="1" applyAlignment="1">
      <alignment horizontal="center" wrapText="1"/>
    </xf>
    <xf numFmtId="0" fontId="0" fillId="0" borderId="1" xfId="0" applyBorder="1" applyAlignment="1">
      <alignment textRotation="90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Fill="1" applyBorder="1" applyAlignment="1">
      <alignment horizontal="left" textRotation="90" wrapText="1"/>
    </xf>
    <xf numFmtId="164" fontId="0" fillId="11" borderId="1" xfId="0" applyNumberFormat="1" applyFill="1" applyBorder="1"/>
    <xf numFmtId="0" fontId="5" fillId="11" borderId="1" xfId="0" applyFont="1" applyFill="1" applyBorder="1" applyAlignment="1">
      <alignment horizontal="center" textRotation="90" wrapText="1"/>
    </xf>
    <xf numFmtId="164" fontId="5" fillId="11" borderId="1" xfId="0" applyNumberFormat="1" applyFont="1" applyFill="1" applyBorder="1"/>
    <xf numFmtId="0" fontId="0" fillId="11" borderId="1" xfId="0" applyFill="1" applyBorder="1" applyAlignment="1">
      <alignment horizontal="center" textRotation="90" wrapText="1"/>
    </xf>
    <xf numFmtId="2" fontId="0" fillId="0" borderId="0" xfId="0" applyNumberFormat="1"/>
    <xf numFmtId="2" fontId="0" fillId="0" borderId="0" xfId="0" applyNumberFormat="1" applyFont="1" applyFill="1" applyBorder="1"/>
    <xf numFmtId="164" fontId="0" fillId="0" borderId="1" xfId="0" applyNumberFormat="1" applyFont="1" applyFill="1" applyBorder="1"/>
    <xf numFmtId="164" fontId="1" fillId="2" borderId="1" xfId="0" applyNumberFormat="1" applyFont="1" applyFill="1" applyBorder="1"/>
    <xf numFmtId="164" fontId="1" fillId="0" borderId="1" xfId="0" applyNumberFormat="1" applyFont="1" applyBorder="1" applyAlignment="1">
      <alignment horizontal="center" wrapText="1"/>
    </xf>
    <xf numFmtId="2" fontId="0" fillId="7" borderId="1" xfId="0" applyNumberFormat="1" applyFont="1" applyFill="1" applyBorder="1"/>
    <xf numFmtId="165" fontId="1" fillId="0" borderId="1" xfId="1" applyNumberFormat="1" applyFont="1" applyBorder="1" applyAlignment="1">
      <alignment horizontal="center" wrapText="1"/>
    </xf>
    <xf numFmtId="9" fontId="1" fillId="0" borderId="1" xfId="1" applyFont="1" applyBorder="1" applyAlignment="1">
      <alignment horizontal="center" wrapText="1"/>
    </xf>
    <xf numFmtId="165" fontId="0" fillId="0" borderId="0" xfId="1" applyNumberFormat="1" applyFont="1" applyFill="1" applyBorder="1" applyAlignment="1">
      <alignment horizontal="center" wrapText="1"/>
    </xf>
    <xf numFmtId="9" fontId="0" fillId="0" borderId="0" xfId="1" applyFont="1" applyFill="1" applyBorder="1" applyAlignment="1">
      <alignment horizontal="center" wrapText="1"/>
    </xf>
    <xf numFmtId="164" fontId="0" fillId="0" borderId="9" xfId="0" applyNumberFormat="1" applyFill="1" applyBorder="1" applyAlignment="1">
      <alignment horizontal="center" wrapText="1"/>
    </xf>
    <xf numFmtId="165" fontId="0" fillId="0" borderId="9" xfId="1" applyNumberFormat="1" applyFont="1" applyFill="1" applyBorder="1" applyAlignment="1">
      <alignment horizontal="center" wrapText="1"/>
    </xf>
    <xf numFmtId="9" fontId="0" fillId="0" borderId="9" xfId="1" applyFont="1" applyFill="1" applyBorder="1" applyAlignment="1">
      <alignment horizontal="center" wrapText="1"/>
    </xf>
    <xf numFmtId="0" fontId="0" fillId="0" borderId="1" xfId="0" applyBorder="1" applyAlignment="1">
      <alignment textRotation="90"/>
    </xf>
    <xf numFmtId="0" fontId="9" fillId="2" borderId="7" xfId="2" applyFont="1" applyFill="1"/>
    <xf numFmtId="164" fontId="1" fillId="11" borderId="1" xfId="0" applyNumberFormat="1" applyFont="1" applyFill="1" applyBorder="1"/>
    <xf numFmtId="1" fontId="1" fillId="0" borderId="1" xfId="0" applyNumberFormat="1" applyFont="1" applyBorder="1"/>
    <xf numFmtId="164" fontId="1" fillId="0" borderId="0" xfId="0" applyNumberFormat="1" applyFont="1" applyAlignment="1">
      <alignment horizontal="center"/>
    </xf>
    <xf numFmtId="0" fontId="0" fillId="0" borderId="11" xfId="0" applyFill="1" applyBorder="1"/>
    <xf numFmtId="2" fontId="0" fillId="0" borderId="11" xfId="0" applyNumberFormat="1" applyBorder="1"/>
    <xf numFmtId="0" fontId="0" fillId="0" borderId="11" xfId="0" applyBorder="1"/>
    <xf numFmtId="164" fontId="0" fillId="0" borderId="11" xfId="0" applyNumberFormat="1" applyBorder="1"/>
    <xf numFmtId="2" fontId="0" fillId="5" borderId="0" xfId="0" applyNumberFormat="1" applyFill="1" applyBorder="1"/>
    <xf numFmtId="2" fontId="0" fillId="5" borderId="11" xfId="0" applyNumberFormat="1" applyFill="1" applyBorder="1"/>
    <xf numFmtId="0" fontId="0" fillId="0" borderId="0" xfId="0" applyFont="1"/>
    <xf numFmtId="0" fontId="0" fillId="0" borderId="1" xfId="0" applyFont="1" applyFill="1" applyBorder="1"/>
    <xf numFmtId="164" fontId="0" fillId="6" borderId="1" xfId="0" applyNumberFormat="1" applyFont="1" applyFill="1" applyBorder="1"/>
    <xf numFmtId="164" fontId="0" fillId="11" borderId="1" xfId="0" applyNumberFormat="1" applyFont="1" applyFill="1" applyBorder="1"/>
    <xf numFmtId="9" fontId="3" fillId="0" borderId="1" xfId="1" applyFont="1" applyFill="1" applyBorder="1"/>
    <xf numFmtId="2" fontId="0" fillId="0" borderId="1" xfId="0" applyNumberFormat="1" applyFont="1" applyBorder="1"/>
    <xf numFmtId="164" fontId="0" fillId="0" borderId="1" xfId="0" applyNumberFormat="1" applyFont="1" applyBorder="1" applyAlignment="1">
      <alignment horizontal="center" wrapText="1"/>
    </xf>
    <xf numFmtId="165" fontId="3" fillId="0" borderId="1" xfId="1" applyNumberFormat="1" applyFont="1" applyBorder="1" applyAlignment="1">
      <alignment horizontal="center" wrapText="1"/>
    </xf>
    <xf numFmtId="9" fontId="3" fillId="0" borderId="1" xfId="1" applyFont="1" applyBorder="1" applyAlignment="1">
      <alignment horizontal="center" wrapText="1"/>
    </xf>
    <xf numFmtId="1" fontId="0" fillId="0" borderId="1" xfId="0" applyNumberFormat="1" applyFont="1" applyBorder="1"/>
    <xf numFmtId="164" fontId="0" fillId="0" borderId="0" xfId="0" applyNumberFormat="1" applyFont="1" applyAlignment="1">
      <alignment horizontal="center"/>
    </xf>
    <xf numFmtId="0" fontId="0" fillId="12" borderId="1" xfId="0" applyFill="1" applyBorder="1" applyAlignment="1">
      <alignment horizontal="left" textRotation="90" wrapText="1"/>
    </xf>
    <xf numFmtId="9" fontId="0" fillId="12" borderId="1" xfId="1" applyFont="1" applyFill="1" applyBorder="1"/>
    <xf numFmtId="9" fontId="0" fillId="4" borderId="1" xfId="1" applyFont="1" applyFill="1" applyBorder="1"/>
    <xf numFmtId="9" fontId="0" fillId="3" borderId="1" xfId="1" applyFont="1" applyFill="1" applyBorder="1"/>
    <xf numFmtId="164" fontId="10" fillId="0" borderId="1" xfId="0" applyNumberFormat="1" applyFont="1" applyBorder="1"/>
    <xf numFmtId="0" fontId="0" fillId="0" borderId="1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14" borderId="1" xfId="0" applyFill="1" applyBorder="1" applyAlignment="1">
      <alignment horizontal="center" textRotation="90" wrapText="1"/>
    </xf>
    <xf numFmtId="0" fontId="0" fillId="14" borderId="1" xfId="0" applyFill="1" applyBorder="1" applyAlignment="1">
      <alignment horizontal="center"/>
    </xf>
    <xf numFmtId="0" fontId="0" fillId="12" borderId="1" xfId="0" applyFill="1" applyBorder="1" applyAlignment="1">
      <alignment horizontal="center" textRotation="90" wrapText="1"/>
    </xf>
    <xf numFmtId="0" fontId="0" fillId="13" borderId="1" xfId="0" applyFill="1" applyBorder="1" applyAlignment="1">
      <alignment horizontal="center" textRotation="90" wrapText="1"/>
    </xf>
    <xf numFmtId="0" fontId="0" fillId="13" borderId="1" xfId="0" applyFill="1" applyBorder="1" applyAlignment="1">
      <alignment horizontal="center"/>
    </xf>
    <xf numFmtId="0" fontId="0" fillId="6" borderId="1" xfId="0" applyFill="1" applyBorder="1" applyAlignment="1">
      <alignment horizontal="center" textRotation="90" wrapText="1"/>
    </xf>
    <xf numFmtId="0" fontId="0" fillId="6" borderId="1" xfId="0" applyFill="1" applyBorder="1" applyAlignment="1">
      <alignment horizontal="center"/>
    </xf>
    <xf numFmtId="0" fontId="0" fillId="15" borderId="1" xfId="0" applyFill="1" applyBorder="1" applyAlignment="1">
      <alignment horizontal="center" textRotation="90" wrapText="1"/>
    </xf>
    <xf numFmtId="0" fontId="0" fillId="15" borderId="1" xfId="0" applyFill="1" applyBorder="1" applyAlignment="1">
      <alignment horizontal="center"/>
    </xf>
    <xf numFmtId="0" fontId="0" fillId="4" borderId="1" xfId="0" applyFill="1" applyBorder="1" applyAlignment="1">
      <alignment horizontal="center" textRotation="90" wrapText="1"/>
    </xf>
    <xf numFmtId="2" fontId="0" fillId="14" borderId="1" xfId="0" applyNumberFormat="1" applyFill="1" applyBorder="1" applyAlignment="1">
      <alignment horizontal="center"/>
    </xf>
    <xf numFmtId="2" fontId="0" fillId="13" borderId="1" xfId="0" applyNumberFormat="1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2" fontId="0" fillId="15" borderId="1" xfId="0" applyNumberFormat="1" applyFill="1" applyBorder="1" applyAlignment="1">
      <alignment horizontal="center"/>
    </xf>
    <xf numFmtId="0" fontId="0" fillId="12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2" fontId="0" fillId="12" borderId="1" xfId="0" applyNumberFormat="1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2" fontId="0" fillId="3" borderId="1" xfId="0" applyNumberFormat="1" applyFill="1" applyBorder="1" applyAlignment="1" applyProtection="1">
      <alignment horizontal="center"/>
    </xf>
    <xf numFmtId="0" fontId="0" fillId="4" borderId="8" xfId="0" applyFill="1" applyBorder="1" applyAlignment="1">
      <alignment horizontal="center" wrapText="1"/>
    </xf>
    <xf numFmtId="2" fontId="5" fillId="12" borderId="1" xfId="0" applyNumberFormat="1" applyFont="1" applyFill="1" applyBorder="1" applyAlignment="1">
      <alignment horizontal="center"/>
    </xf>
    <xf numFmtId="2" fontId="5" fillId="4" borderId="1" xfId="0" applyNumberFormat="1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164" fontId="0" fillId="13" borderId="1" xfId="0" applyNumberFormat="1" applyFill="1" applyBorder="1" applyAlignment="1">
      <alignment horizontal="center"/>
    </xf>
    <xf numFmtId="0" fontId="5" fillId="12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2" fontId="0" fillId="14" borderId="10" xfId="0" applyNumberFormat="1" applyFill="1" applyBorder="1" applyAlignment="1">
      <alignment horizontal="center"/>
    </xf>
    <xf numFmtId="164" fontId="0" fillId="13" borderId="10" xfId="0" applyNumberForma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15" borderId="10" xfId="0" applyFill="1" applyBorder="1" applyAlignment="1">
      <alignment horizontal="center"/>
    </xf>
    <xf numFmtId="2" fontId="0" fillId="13" borderId="10" xfId="0" applyNumberFormat="1" applyFill="1" applyBorder="1" applyAlignment="1">
      <alignment horizontal="center"/>
    </xf>
    <xf numFmtId="2" fontId="0" fillId="6" borderId="10" xfId="0" applyNumberFormat="1" applyFill="1" applyBorder="1" applyAlignment="1">
      <alignment horizontal="center"/>
    </xf>
    <xf numFmtId="2" fontId="0" fillId="15" borderId="10" xfId="0" applyNumberFormat="1" applyFill="1" applyBorder="1" applyAlignment="1">
      <alignment horizontal="center"/>
    </xf>
    <xf numFmtId="0" fontId="5" fillId="12" borderId="10" xfId="0" applyFont="1" applyFill="1" applyBorder="1" applyAlignment="1">
      <alignment horizontal="center" wrapText="1"/>
    </xf>
    <xf numFmtId="0" fontId="5" fillId="4" borderId="10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 wrapText="1"/>
    </xf>
    <xf numFmtId="2" fontId="0" fillId="12" borderId="10" xfId="0" applyNumberFormat="1" applyFill="1" applyBorder="1" applyAlignment="1">
      <alignment horizontal="center"/>
    </xf>
    <xf numFmtId="2" fontId="0" fillId="4" borderId="10" xfId="0" applyNumberFormat="1" applyFill="1" applyBorder="1" applyAlignment="1">
      <alignment horizontal="center"/>
    </xf>
    <xf numFmtId="2" fontId="0" fillId="3" borderId="10" xfId="0" applyNumberFormat="1" applyFill="1" applyBorder="1" applyAlignment="1">
      <alignment horizontal="center"/>
    </xf>
    <xf numFmtId="2" fontId="5" fillId="12" borderId="10" xfId="0" applyNumberFormat="1" applyFont="1" applyFill="1" applyBorder="1" applyAlignment="1">
      <alignment horizontal="center"/>
    </xf>
    <xf numFmtId="2" fontId="5" fillId="4" borderId="10" xfId="0" applyNumberFormat="1" applyFont="1" applyFill="1" applyBorder="1" applyAlignment="1">
      <alignment horizontal="center"/>
    </xf>
    <xf numFmtId="2" fontId="5" fillId="3" borderId="10" xfId="0" applyNumberFormat="1" applyFont="1" applyFill="1" applyBorder="1" applyAlignment="1">
      <alignment horizontal="center"/>
    </xf>
    <xf numFmtId="2" fontId="1" fillId="2" borderId="1" xfId="0" applyNumberFormat="1" applyFont="1" applyFill="1" applyBorder="1"/>
    <xf numFmtId="164" fontId="7" fillId="0" borderId="1" xfId="0" applyNumberFormat="1" applyFont="1" applyBorder="1"/>
    <xf numFmtId="0" fontId="0" fillId="0" borderId="0" xfId="0" applyAlignment="1"/>
    <xf numFmtId="0" fontId="0" fillId="2" borderId="8" xfId="0" applyFill="1" applyBorder="1" applyAlignment="1">
      <alignment horizontal="center"/>
    </xf>
    <xf numFmtId="0" fontId="0" fillId="3" borderId="0" xfId="0" applyFill="1" applyBorder="1"/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wrapText="1"/>
    </xf>
    <xf numFmtId="0" fontId="0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0" fillId="0" borderId="6" xfId="0" applyBorder="1" applyAlignment="1">
      <alignment horizontal="center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8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</cellXfs>
  <cellStyles count="3">
    <cellStyle name="Input" xfId="2" builtinId="20"/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F89B4E"/>
      <color rgb="FFF78E37"/>
      <color rgb="FFF6822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Sculls!$AH$32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Sculls!$AG$33:$AG$43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Sculls!$AH$33:$AH$43</c:f>
              <c:numCache>
                <c:formatCode>0.0</c:formatCode>
                <c:ptCount val="11"/>
                <c:pt idx="0">
                  <c:v>2.3521205834089329</c:v>
                </c:pt>
                <c:pt idx="1">
                  <c:v>1.8731457776387685</c:v>
                </c:pt>
                <c:pt idx="2">
                  <c:v>1.3985944664165118</c:v>
                </c:pt>
                <c:pt idx="3">
                  <c:v>0.92831462661253283</c:v>
                </c:pt>
                <c:pt idx="4">
                  <c:v>0.46216209358536275</c:v>
                </c:pt>
                <c:pt idx="5">
                  <c:v>0</c:v>
                </c:pt>
                <c:pt idx="6">
                  <c:v>-0.45830173500363003</c:v>
                </c:pt>
                <c:pt idx="7">
                  <c:v>-0.91286687170376979</c:v>
                </c:pt>
                <c:pt idx="8">
                  <c:v>-1.3638132754900312</c:v>
                </c:pt>
                <c:pt idx="9">
                  <c:v>-1.8112533065145016</c:v>
                </c:pt>
                <c:pt idx="10">
                  <c:v>-2.2552941769615273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Sculls!$AI$32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Sculls!$AG$33:$AG$43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Sculls!$AI$33:$AI$43</c:f>
              <c:numCache>
                <c:formatCode>0.0</c:formatCode>
                <c:ptCount val="11"/>
                <c:pt idx="0">
                  <c:v>-2.35212058340894</c:v>
                </c:pt>
                <c:pt idx="1">
                  <c:v>-1.8731457776387828</c:v>
                </c:pt>
                <c:pt idx="2">
                  <c:v>-1.3985944664165118</c:v>
                </c:pt>
                <c:pt idx="3">
                  <c:v>-0.92831462661253994</c:v>
                </c:pt>
                <c:pt idx="4">
                  <c:v>-0.46216209358536986</c:v>
                </c:pt>
                <c:pt idx="5">
                  <c:v>0</c:v>
                </c:pt>
                <c:pt idx="6">
                  <c:v>0.45830173500361582</c:v>
                </c:pt>
                <c:pt idx="7">
                  <c:v>0.91286687170376268</c:v>
                </c:pt>
                <c:pt idx="8">
                  <c:v>1.363813275490017</c:v>
                </c:pt>
                <c:pt idx="9">
                  <c:v>1.8112533065144945</c:v>
                </c:pt>
                <c:pt idx="10">
                  <c:v>2.2552941769615202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Sculls!$AJ$32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Sculls!$AG$33:$AG$43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Sculls!$AJ$33:$AJ$43</c:f>
              <c:numCache>
                <c:formatCode>0.0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Sculls!$AK$32</c:f>
              <c:strCache>
                <c:ptCount val="1"/>
                <c:pt idx="0">
                  <c:v>distance to move stretcher to stern (cm)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Sculls!$AG$33:$AG$43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Sculls!$AK$33:$AK$43</c:f>
              <c:numCache>
                <c:formatCode>0.0</c:formatCode>
                <c:ptCount val="11"/>
                <c:pt idx="0">
                  <c:v>2.7200934909903651</c:v>
                </c:pt>
                <c:pt idx="1">
                  <c:v>2.1579012396491919</c:v>
                </c:pt>
                <c:pt idx="2">
                  <c:v>1.6050423488877286</c:v>
                </c:pt>
                <c:pt idx="3">
                  <c:v>1.0612638268302206</c:v>
                </c:pt>
                <c:pt idx="4">
                  <c:v>0.52632568002423596</c:v>
                </c:pt>
                <c:pt idx="5">
                  <c:v>0</c:v>
                </c:pt>
                <c:pt idx="6">
                  <c:v>-0.51792986877938318</c:v>
                </c:pt>
                <c:pt idx="7">
                  <c:v>-1.0276700882818375</c:v>
                </c:pt>
                <c:pt idx="8">
                  <c:v>-1.5294170212102927</c:v>
                </c:pt>
                <c:pt idx="9">
                  <c:v>-2.0233578669419927</c:v>
                </c:pt>
                <c:pt idx="10">
                  <c:v>-2.5096712449994385</c:v>
                </c:pt>
              </c:numCache>
            </c:numRef>
          </c:yVal>
          <c:smooth val="1"/>
        </c:ser>
        <c:axId val="138292608"/>
        <c:axId val="62268928"/>
      </c:scatterChart>
      <c:valAx>
        <c:axId val="138292608"/>
        <c:scaling>
          <c:orientation val="maxMin"/>
          <c:max val="165"/>
          <c:min val="155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baseline="0"/>
                  <a:t>&lt;-increasing--Span --reducing-&gt;</a:t>
                </a:r>
              </a:p>
            </c:rich>
          </c:tx>
          <c:layout/>
        </c:title>
        <c:numFmt formatCode="0.0" sourceLinked="1"/>
        <c:tickLblPos val="low"/>
        <c:crossAx val="62268928"/>
        <c:crosses val="autoZero"/>
        <c:crossBetween val="midCat"/>
      </c:valAx>
      <c:valAx>
        <c:axId val="62268928"/>
        <c:scaling>
          <c:orientation val="minMax"/>
        </c:scaling>
        <c:axPos val="r"/>
        <c:majorGridlines/>
        <c:numFmt formatCode="0.0" sourceLinked="1"/>
        <c:tickLblPos val="nextTo"/>
        <c:crossAx val="138292608"/>
        <c:crosses val="autoZero"/>
        <c:crossBetween val="midCat"/>
      </c:valAx>
    </c:plotArea>
    <c:legend>
      <c:legendPos val="r"/>
      <c:layout/>
    </c:legend>
    <c:plotVisOnly val="1"/>
  </c:chart>
  <c:spPr>
    <a:ln w="22225">
      <a:solidFill>
        <a:srgbClr val="0070C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Sculls!$AH$107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Sculls!$AG$108:$AG$118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Sculls!$AH$108:$AH$118</c:f>
              <c:numCache>
                <c:formatCode>0.0</c:formatCode>
                <c:ptCount val="11"/>
                <c:pt idx="0">
                  <c:v>-3.1267887876870759</c:v>
                </c:pt>
                <c:pt idx="1">
                  <c:v>-2.5149391464819786</c:v>
                </c:pt>
                <c:pt idx="2">
                  <c:v>-1.8963665854975815</c:v>
                </c:pt>
                <c:pt idx="3">
                  <c:v>-1.2710386152324205</c:v>
                </c:pt>
                <c:pt idx="4">
                  <c:v>-0.63892541618971421</c:v>
                </c:pt>
                <c:pt idx="5">
                  <c:v>0</c:v>
                </c:pt>
                <c:pt idx="6">
                  <c:v>0.64576162461116837</c:v>
                </c:pt>
                <c:pt idx="7">
                  <c:v>1.2983802810666702</c:v>
                </c:pt>
                <c:pt idx="8">
                  <c:v>1.9578734494709096</c:v>
                </c:pt>
                <c:pt idx="9">
                  <c:v>2.6242550865292884</c:v>
                </c:pt>
                <c:pt idx="10">
                  <c:v>3.2975354409742437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Sculls!$AI$107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Sculls!$AG$108:$AG$118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Sculls!$AI$108:$AI$118</c:f>
              <c:numCache>
                <c:formatCode>0.0</c:formatCode>
                <c:ptCount val="11"/>
                <c:pt idx="0">
                  <c:v>-0.62548382138402303</c:v>
                </c:pt>
                <c:pt idx="1">
                  <c:v>-0.50253676531649205</c:v>
                </c:pt>
                <c:pt idx="2">
                  <c:v>-0.37853034466978386</c:v>
                </c:pt>
                <c:pt idx="3">
                  <c:v>-0.25344922731019892</c:v>
                </c:pt>
                <c:pt idx="4">
                  <c:v>-0.12727776797817114</c:v>
                </c:pt>
                <c:pt idx="5">
                  <c:v>0</c:v>
                </c:pt>
                <c:pt idx="6">
                  <c:v>0.12840037327065801</c:v>
                </c:pt>
                <c:pt idx="7">
                  <c:v>0.25793998729208312</c:v>
                </c:pt>
                <c:pt idx="8">
                  <c:v>0.38863582546572673</c:v>
                </c:pt>
                <c:pt idx="9">
                  <c:v>0.52050522857063442</c:v>
                </c:pt>
                <c:pt idx="10">
                  <c:v>0.65356590451317231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Sculls!$AJ$107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Sculls!$AG$108:$AG$118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Sculls!$AJ$108:$AJ$118</c:f>
              <c:numCache>
                <c:formatCode>0.0</c:formatCode>
                <c:ptCount val="11"/>
                <c:pt idx="0">
                  <c:v>-3.7522726090711274</c:v>
                </c:pt>
                <c:pt idx="1">
                  <c:v>-3.0174759117984991</c:v>
                </c:pt>
                <c:pt idx="2">
                  <c:v>-2.2748969301673867</c:v>
                </c:pt>
                <c:pt idx="3">
                  <c:v>-1.5244878425426407</c:v>
                </c:pt>
                <c:pt idx="4">
                  <c:v>-0.76620318416790667</c:v>
                </c:pt>
                <c:pt idx="5">
                  <c:v>0</c:v>
                </c:pt>
                <c:pt idx="6">
                  <c:v>0.77416199788180506</c:v>
                </c:pt>
                <c:pt idx="7">
                  <c:v>1.5563202683587321</c:v>
                </c:pt>
                <c:pt idx="8">
                  <c:v>2.3465092749366079</c:v>
                </c:pt>
                <c:pt idx="9">
                  <c:v>3.1447603150999015</c:v>
                </c:pt>
                <c:pt idx="10">
                  <c:v>3.9511013454873876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Sculls!$AK$107</c:f>
              <c:strCache>
                <c:ptCount val="1"/>
                <c:pt idx="0">
                  <c:v>distance to move stretcher to stern (cm)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Sculls!$AG$108:$AG$118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Sculls!$AK$108:$AK$118</c:f>
              <c:numCache>
                <c:formatCode>0.0</c:formatCode>
                <c:ptCount val="11"/>
                <c:pt idx="0">
                  <c:v>-0.99605521342394354</c:v>
                </c:pt>
                <c:pt idx="1">
                  <c:v>-0.79810307464880026</c:v>
                </c:pt>
                <c:pt idx="2">
                  <c:v>-0.59952745993900436</c:v>
                </c:pt>
                <c:pt idx="3">
                  <c:v>-0.4003224407646897</c:v>
                </c:pt>
                <c:pt idx="4">
                  <c:v>-0.20048199404033085</c:v>
                </c:pt>
                <c:pt idx="5">
                  <c:v>0</c:v>
                </c:pt>
                <c:pt idx="6">
                  <c:v>0.20112975998936378</c:v>
                </c:pt>
                <c:pt idx="7">
                  <c:v>0.40291360567874079</c:v>
                </c:pt>
                <c:pt idx="8">
                  <c:v>0.60535796025389033</c:v>
                </c:pt>
                <c:pt idx="9">
                  <c:v>0.80846935272113996</c:v>
                </c:pt>
                <c:pt idx="10">
                  <c:v>1.012254420364215</c:v>
                </c:pt>
              </c:numCache>
            </c:numRef>
          </c:yVal>
          <c:smooth val="1"/>
        </c:ser>
        <c:axId val="62319616"/>
        <c:axId val="62321792"/>
      </c:scatterChart>
      <c:valAx>
        <c:axId val="62319616"/>
        <c:scaling>
          <c:orientation val="maxMin"/>
          <c:max val="165"/>
          <c:min val="155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000" b="1" i="0" baseline="0"/>
                  <a:t>&lt;-increasing--Span/Inboard --reducing-&gt;</a:t>
                </a:r>
                <a:endParaRPr lang="en-GB" sz="1000" b="1" i="0" baseline="0"/>
              </a:p>
            </c:rich>
          </c:tx>
          <c:layout/>
        </c:title>
        <c:numFmt formatCode="0.0" sourceLinked="1"/>
        <c:tickLblPos val="low"/>
        <c:crossAx val="62321792"/>
        <c:crosses val="autoZero"/>
        <c:crossBetween val="midCat"/>
      </c:valAx>
      <c:valAx>
        <c:axId val="62321792"/>
        <c:scaling>
          <c:orientation val="minMax"/>
        </c:scaling>
        <c:axPos val="r"/>
        <c:majorGridlines/>
        <c:numFmt formatCode="0.0" sourceLinked="1"/>
        <c:tickLblPos val="nextTo"/>
        <c:crossAx val="62319616"/>
        <c:crosses val="autoZero"/>
        <c:crossBetween val="midCat"/>
      </c:valAx>
    </c:plotArea>
    <c:legend>
      <c:legendPos val="r"/>
      <c:layout/>
    </c:legend>
    <c:plotVisOnly val="1"/>
  </c:chart>
  <c:spPr>
    <a:ln w="22225">
      <a:solidFill>
        <a:srgbClr val="0070C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Sculls!$AH$122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Sculls!$AG$123:$AG$133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Sculls!$AH$123:$AH$133</c:f>
              <c:numCache>
                <c:formatCode>0.0</c:formatCode>
                <c:ptCount val="11"/>
                <c:pt idx="0">
                  <c:v>-1.7460560350918541</c:v>
                </c:pt>
                <c:pt idx="1">
                  <c:v>-1.4026857258707821</c:v>
                </c:pt>
                <c:pt idx="2">
                  <c:v>-1.0564021412907607</c:v>
                </c:pt>
                <c:pt idx="3">
                  <c:v>-0.70719704710629117</c:v>
                </c:pt>
                <c:pt idx="4">
                  <c:v>-0.35506428701015125</c:v>
                </c:pt>
                <c:pt idx="5">
                  <c:v>0</c:v>
                </c:pt>
                <c:pt idx="6">
                  <c:v>0.35799714107162117</c:v>
                </c:pt>
                <c:pt idx="7">
                  <c:v>0.71892566746622322</c:v>
                </c:pt>
                <c:pt idx="8">
                  <c:v>1.082781026462996</c:v>
                </c:pt>
                <c:pt idx="9">
                  <c:v>1.4495552642844984</c:v>
                </c:pt>
                <c:pt idx="10">
                  <c:v>1.8192366767544286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Sculls!$AI$122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Sculls!$AG$123:$AG$133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Sculls!$AI$123:$AI$133</c:f>
              <c:numCache>
                <c:formatCode>0.0</c:formatCode>
                <c:ptCount val="11"/>
                <c:pt idx="0">
                  <c:v>-1.4652260326958029</c:v>
                </c:pt>
                <c:pt idx="1">
                  <c:v>-1.1812761240234693</c:v>
                </c:pt>
                <c:pt idx="2">
                  <c:v>-0.89290241213822696</c:v>
                </c:pt>
                <c:pt idx="3">
                  <c:v>-0.59998365342845261</c:v>
                </c:pt>
                <c:pt idx="4">
                  <c:v>-0.30239346177950921</c:v>
                </c:pt>
                <c:pt idx="5">
                  <c:v>0</c:v>
                </c:pt>
                <c:pt idx="6">
                  <c:v>0.30733435321253921</c:v>
                </c:pt>
                <c:pt idx="7">
                  <c:v>0.61975336320188745</c:v>
                </c:pt>
                <c:pt idx="8">
                  <c:v>0.93740732890886846</c:v>
                </c:pt>
                <c:pt idx="9">
                  <c:v>1.2604535051167858</c:v>
                </c:pt>
                <c:pt idx="10">
                  <c:v>1.5890565608361413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Sculls!$AJ$122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Sculls!$AG$123:$AG$133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Sculls!$AJ$123:$AJ$133</c:f>
              <c:numCache>
                <c:formatCode>0.0</c:formatCode>
                <c:ptCount val="11"/>
                <c:pt idx="0">
                  <c:v>-3.2112820677876641</c:v>
                </c:pt>
                <c:pt idx="1">
                  <c:v>-2.5839618498942514</c:v>
                </c:pt>
                <c:pt idx="2">
                  <c:v>-1.9493045534290019</c:v>
                </c:pt>
                <c:pt idx="3">
                  <c:v>-1.3071807005347438</c:v>
                </c:pt>
                <c:pt idx="4">
                  <c:v>-0.65745774878966756</c:v>
                </c:pt>
                <c:pt idx="5">
                  <c:v>0</c:v>
                </c:pt>
                <c:pt idx="6">
                  <c:v>0.66533149428414617</c:v>
                </c:pt>
                <c:pt idx="7">
                  <c:v>1.3386790306681036</c:v>
                </c:pt>
                <c:pt idx="8">
                  <c:v>2.0201883553718574</c:v>
                </c:pt>
                <c:pt idx="9">
                  <c:v>2.71000876940127</c:v>
                </c:pt>
                <c:pt idx="10">
                  <c:v>3.4082932375905557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Sculls!$AK$122</c:f>
              <c:strCache>
                <c:ptCount val="1"/>
                <c:pt idx="0">
                  <c:v>change in distance between handles (cm / 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Sculls!$AG$123:$AG$133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Sculls!$AK$123:$AK$133</c:f>
              <c:numCache>
                <c:formatCode>0.0</c:formatCode>
                <c:ptCount val="11"/>
                <c:pt idx="0">
                  <c:v>-1.8393218340401347</c:v>
                </c:pt>
                <c:pt idx="1">
                  <c:v>-1.4843164355195881</c:v>
                </c:pt>
                <c:pt idx="2">
                  <c:v>-1.1230778054247139</c:v>
                </c:pt>
                <c:pt idx="3">
                  <c:v>-0.75541420220872624</c:v>
                </c:pt>
                <c:pt idx="4">
                  <c:v>-0.38112497615477992</c:v>
                </c:pt>
                <c:pt idx="5">
                  <c:v>0</c:v>
                </c:pt>
                <c:pt idx="6">
                  <c:v>0.38818094747276177</c:v>
                </c:pt>
                <c:pt idx="7">
                  <c:v>0.78364884968597437</c:v>
                </c:pt>
                <c:pt idx="8">
                  <c:v>1.1866461777605792</c:v>
                </c:pt>
                <c:pt idx="9">
                  <c:v>1.5974276793280779</c:v>
                </c:pt>
                <c:pt idx="10">
                  <c:v>2.0162612375115287</c:v>
                </c:pt>
              </c:numCache>
            </c:numRef>
          </c:yVal>
          <c:smooth val="1"/>
        </c:ser>
        <c:axId val="139483776"/>
        <c:axId val="139498240"/>
      </c:scatterChart>
      <c:valAx>
        <c:axId val="139483776"/>
        <c:scaling>
          <c:orientation val="maxMin"/>
          <c:max val="165"/>
          <c:min val="155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000" b="1" i="0" baseline="0"/>
                  <a:t>&lt;-increasing--Span/Inboard --reducing-&gt;</a:t>
                </a:r>
                <a:endParaRPr lang="en-GB" sz="1000" b="1" i="0" baseline="0"/>
              </a:p>
            </c:rich>
          </c:tx>
          <c:layout/>
        </c:title>
        <c:numFmt formatCode="0.0" sourceLinked="1"/>
        <c:tickLblPos val="low"/>
        <c:crossAx val="139498240"/>
        <c:crosses val="autoZero"/>
        <c:crossBetween val="midCat"/>
      </c:valAx>
      <c:valAx>
        <c:axId val="139498240"/>
        <c:scaling>
          <c:orientation val="minMax"/>
        </c:scaling>
        <c:axPos val="r"/>
        <c:majorGridlines/>
        <c:numFmt formatCode="0.0" sourceLinked="1"/>
        <c:tickLblPos val="nextTo"/>
        <c:crossAx val="139483776"/>
        <c:crosses val="autoZero"/>
        <c:crossBetween val="midCat"/>
      </c:valAx>
    </c:plotArea>
    <c:legend>
      <c:legendPos val="r"/>
      <c:layout/>
    </c:legend>
    <c:plotVisOnly val="1"/>
  </c:chart>
  <c:spPr>
    <a:ln w="22225">
      <a:solidFill>
        <a:srgbClr val="0070C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Sculls!$AH$137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Sculls!$AG$138:$AG$148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Sculls!$AH$138:$AH$148</c:f>
              <c:numCache>
                <c:formatCode>0.0</c:formatCode>
                <c:ptCount val="11"/>
                <c:pt idx="0">
                  <c:v>-2.4654818292231795</c:v>
                </c:pt>
                <c:pt idx="1">
                  <c:v>-1.9855932590123899</c:v>
                </c:pt>
                <c:pt idx="2">
                  <c:v>-1.4992188620117872</c:v>
                </c:pt>
                <c:pt idx="3">
                  <c:v>-1.0062417403587602</c:v>
                </c:pt>
                <c:pt idx="4">
                  <c:v>-0.50654265757506778</c:v>
                </c:pt>
                <c:pt idx="5">
                  <c:v>0</c:v>
                </c:pt>
                <c:pt idx="6">
                  <c:v>0.51351026139570877</c:v>
                </c:pt>
                <c:pt idx="7">
                  <c:v>1.0341146087075828</c:v>
                </c:pt>
                <c:pt idx="8">
                  <c:v>1.561942014190123</c:v>
                </c:pt>
                <c:pt idx="9">
                  <c:v>2.097123976616615</c:v>
                </c:pt>
                <c:pt idx="10">
                  <c:v>2.6397945567694734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Sculls!$AI$137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Sculls!$AG$138:$AG$148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Sculls!$AI$138:$AI$148</c:f>
              <c:numCache>
                <c:formatCode>0.0</c:formatCode>
                <c:ptCount val="11"/>
                <c:pt idx="0">
                  <c:v>-1.4652260326958313</c:v>
                </c:pt>
                <c:pt idx="1">
                  <c:v>-1.1812761240234835</c:v>
                </c:pt>
                <c:pt idx="2">
                  <c:v>-0.89290241213826249</c:v>
                </c:pt>
                <c:pt idx="3">
                  <c:v>-0.59998365342846682</c:v>
                </c:pt>
                <c:pt idx="4">
                  <c:v>-0.30239346177951631</c:v>
                </c:pt>
                <c:pt idx="5">
                  <c:v>0</c:v>
                </c:pt>
                <c:pt idx="6">
                  <c:v>0.30733435321251079</c:v>
                </c:pt>
                <c:pt idx="7">
                  <c:v>0.61975336320186614</c:v>
                </c:pt>
                <c:pt idx="8">
                  <c:v>0.93740732890884715</c:v>
                </c:pt>
                <c:pt idx="9">
                  <c:v>1.2604535051167645</c:v>
                </c:pt>
                <c:pt idx="10">
                  <c:v>1.58905656083612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Sculls!$AJ$137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Sculls!$AG$138:$AG$148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Sculls!$AJ$138:$AJ$148</c:f>
              <c:numCache>
                <c:formatCode>0.0</c:formatCode>
                <c:ptCount val="11"/>
                <c:pt idx="0">
                  <c:v>-3.9307078619190179</c:v>
                </c:pt>
                <c:pt idx="1">
                  <c:v>-3.1668693830358876</c:v>
                </c:pt>
                <c:pt idx="2">
                  <c:v>-2.3921212741500568</c:v>
                </c:pt>
                <c:pt idx="3">
                  <c:v>-1.6062253937872271</c:v>
                </c:pt>
                <c:pt idx="4">
                  <c:v>-0.80893611935458409</c:v>
                </c:pt>
                <c:pt idx="5">
                  <c:v>0</c:v>
                </c:pt>
                <c:pt idx="6">
                  <c:v>0.82084461460821956</c:v>
                </c:pt>
                <c:pt idx="7">
                  <c:v>1.6538679719094347</c:v>
                </c:pt>
                <c:pt idx="8">
                  <c:v>2.499349343098956</c:v>
                </c:pt>
                <c:pt idx="9">
                  <c:v>3.3575774817333723</c:v>
                </c:pt>
                <c:pt idx="10">
                  <c:v>4.2288511176055863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Sculls!$AK$137</c:f>
              <c:strCache>
                <c:ptCount val="1"/>
                <c:pt idx="0">
                  <c:v>change in distance between handles (cm / 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Sculls!$AG$138:$AG$148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Sculls!$AK$138:$AK$148</c:f>
              <c:numCache>
                <c:formatCode>0.0</c:formatCode>
                <c:ptCount val="11"/>
                <c:pt idx="0">
                  <c:v>-1.8393218340401347</c:v>
                </c:pt>
                <c:pt idx="1">
                  <c:v>-1.4843164355195881</c:v>
                </c:pt>
                <c:pt idx="2">
                  <c:v>-1.1230778054247139</c:v>
                </c:pt>
                <c:pt idx="3">
                  <c:v>-0.75541420220872624</c:v>
                </c:pt>
                <c:pt idx="4">
                  <c:v>-0.38112497615477992</c:v>
                </c:pt>
                <c:pt idx="5">
                  <c:v>0</c:v>
                </c:pt>
                <c:pt idx="6">
                  <c:v>0.38818094747276177</c:v>
                </c:pt>
                <c:pt idx="7">
                  <c:v>0.78364884968597437</c:v>
                </c:pt>
                <c:pt idx="8">
                  <c:v>1.1866461777605792</c:v>
                </c:pt>
                <c:pt idx="9">
                  <c:v>1.5974276793280779</c:v>
                </c:pt>
                <c:pt idx="10">
                  <c:v>2.0162612375115287</c:v>
                </c:pt>
              </c:numCache>
            </c:numRef>
          </c:yVal>
          <c:smooth val="1"/>
        </c:ser>
        <c:axId val="139524352"/>
        <c:axId val="140390784"/>
      </c:scatterChart>
      <c:valAx>
        <c:axId val="139524352"/>
        <c:scaling>
          <c:orientation val="maxMin"/>
          <c:max val="165"/>
          <c:min val="155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000" b="1" i="0" baseline="0"/>
                  <a:t>&lt;-increasing--Span/Inboard --reducing-&gt;</a:t>
                </a:r>
                <a:endParaRPr lang="en-GB" sz="1000" b="1" i="0" baseline="0"/>
              </a:p>
            </c:rich>
          </c:tx>
          <c:layout>
            <c:manualLayout>
              <c:xMode val="edge"/>
              <c:yMode val="edge"/>
              <c:x val="0.17159145321017841"/>
              <c:y val="0.92803494553298249"/>
            </c:manualLayout>
          </c:layout>
        </c:title>
        <c:numFmt formatCode="0.0" sourceLinked="1"/>
        <c:tickLblPos val="low"/>
        <c:crossAx val="140390784"/>
        <c:crosses val="autoZero"/>
        <c:crossBetween val="midCat"/>
      </c:valAx>
      <c:valAx>
        <c:axId val="140390784"/>
        <c:scaling>
          <c:orientation val="minMax"/>
        </c:scaling>
        <c:axPos val="r"/>
        <c:majorGridlines/>
        <c:numFmt formatCode="0.0" sourceLinked="1"/>
        <c:tickLblPos val="nextTo"/>
        <c:crossAx val="139524352"/>
        <c:crosses val="autoZero"/>
        <c:crossBetween val="midCat"/>
      </c:valAx>
    </c:plotArea>
    <c:legend>
      <c:legendPos val="r"/>
      <c:layout/>
    </c:legend>
    <c:plotVisOnly val="1"/>
  </c:chart>
  <c:spPr>
    <a:ln w="19050">
      <a:solidFill>
        <a:srgbClr val="0070C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Sculls!$AH$47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Sculls!$AG$48:$AG$58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Sculls!$AH$48:$AH$58</c:f>
              <c:numCache>
                <c:formatCode>0.0</c:formatCode>
                <c:ptCount val="11"/>
                <c:pt idx="0">
                  <c:v>2.3650570988372124</c:v>
                </c:pt>
                <c:pt idx="1">
                  <c:v>1.8874087405661584</c:v>
                </c:pt>
                <c:pt idx="2">
                  <c:v>1.4119858664698057</c:v>
                </c:pt>
                <c:pt idx="3">
                  <c:v>0.93888283855891075</c:v>
                </c:pt>
                <c:pt idx="4">
                  <c:v>0.46819126041981463</c:v>
                </c:pt>
                <c:pt idx="5">
                  <c:v>0</c:v>
                </c:pt>
                <c:pt idx="6">
                  <c:v>-0.46560478928830662</c:v>
                </c:pt>
                <c:pt idx="7">
                  <c:v>-0.92853964863088834</c:v>
                </c:pt>
                <c:pt idx="8">
                  <c:v>-1.3887237945936448</c:v>
                </c:pt>
                <c:pt idx="9">
                  <c:v>-1.8460791002372616</c:v>
                </c:pt>
                <c:pt idx="10">
                  <c:v>-2.300530076233656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Sculls!$AI$47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Sculls!$AG$48:$AG$58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Sculls!$AI$48:$AI$58</c:f>
              <c:numCache>
                <c:formatCode>0.0</c:formatCode>
                <c:ptCount val="11"/>
                <c:pt idx="0">
                  <c:v>-2.35212058340894</c:v>
                </c:pt>
                <c:pt idx="1">
                  <c:v>-1.8731457776387828</c:v>
                </c:pt>
                <c:pt idx="2">
                  <c:v>-1.3985944664165118</c:v>
                </c:pt>
                <c:pt idx="3">
                  <c:v>-0.92831462661253994</c:v>
                </c:pt>
                <c:pt idx="4">
                  <c:v>-0.46216209358536986</c:v>
                </c:pt>
                <c:pt idx="5">
                  <c:v>0</c:v>
                </c:pt>
                <c:pt idx="6">
                  <c:v>0.45830173500361582</c:v>
                </c:pt>
                <c:pt idx="7">
                  <c:v>0.91286687170376268</c:v>
                </c:pt>
                <c:pt idx="8">
                  <c:v>1.363813275490017</c:v>
                </c:pt>
                <c:pt idx="9">
                  <c:v>1.8112533065144945</c:v>
                </c:pt>
                <c:pt idx="10">
                  <c:v>2.2552941769615202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Sculls!$AJ$47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Sculls!$AG$48:$AG$58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Sculls!$AJ$48:$AJ$58</c:f>
              <c:numCache>
                <c:formatCode>0.0</c:formatCode>
                <c:ptCount val="11"/>
                <c:pt idx="0">
                  <c:v>1.2936515428265238E-2</c:v>
                </c:pt>
                <c:pt idx="1">
                  <c:v>1.42629629273614E-2</c:v>
                </c:pt>
                <c:pt idx="2">
                  <c:v>1.3391400053293978E-2</c:v>
                </c:pt>
                <c:pt idx="3">
                  <c:v>1.0568211946363704E-2</c:v>
                </c:pt>
                <c:pt idx="4">
                  <c:v>6.0291668344376603E-3</c:v>
                </c:pt>
                <c:pt idx="5">
                  <c:v>0</c:v>
                </c:pt>
                <c:pt idx="6">
                  <c:v>-7.303054284690802E-3</c:v>
                </c:pt>
                <c:pt idx="7">
                  <c:v>-1.5672776927132759E-2</c:v>
                </c:pt>
                <c:pt idx="8">
                  <c:v>-2.4910519103642059E-2</c:v>
                </c:pt>
                <c:pt idx="9">
                  <c:v>-3.4825793722774279E-2</c:v>
                </c:pt>
                <c:pt idx="10">
                  <c:v>-4.5235899272142888E-2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Sculls!$AK$47</c:f>
              <c:strCache>
                <c:ptCount val="1"/>
                <c:pt idx="0">
                  <c:v>distance to move stretcher to stern (cm)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Sculls!$AG$48:$AG$58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Sculls!$AK$48:$AK$58</c:f>
              <c:numCache>
                <c:formatCode>0.0</c:formatCode>
                <c:ptCount val="11"/>
                <c:pt idx="0">
                  <c:v>2.7200934909903651</c:v>
                </c:pt>
                <c:pt idx="1">
                  <c:v>2.1579012396491919</c:v>
                </c:pt>
                <c:pt idx="2">
                  <c:v>1.6050423488877286</c:v>
                </c:pt>
                <c:pt idx="3">
                  <c:v>1.0612638268302206</c:v>
                </c:pt>
                <c:pt idx="4">
                  <c:v>0.52632568002423596</c:v>
                </c:pt>
                <c:pt idx="5">
                  <c:v>0</c:v>
                </c:pt>
                <c:pt idx="6">
                  <c:v>-0.51792986877938318</c:v>
                </c:pt>
                <c:pt idx="7">
                  <c:v>-1.0276700882818375</c:v>
                </c:pt>
                <c:pt idx="8">
                  <c:v>-1.5294170212102927</c:v>
                </c:pt>
                <c:pt idx="9">
                  <c:v>-2.0233578669419927</c:v>
                </c:pt>
                <c:pt idx="10">
                  <c:v>-2.5096712449994385</c:v>
                </c:pt>
              </c:numCache>
            </c:numRef>
          </c:yVal>
          <c:smooth val="1"/>
        </c:ser>
        <c:axId val="140420992"/>
        <c:axId val="140431360"/>
      </c:scatterChart>
      <c:valAx>
        <c:axId val="140420992"/>
        <c:scaling>
          <c:orientation val="maxMin"/>
          <c:max val="165"/>
          <c:min val="155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000" b="1" i="0" baseline="0"/>
                  <a:t>&lt;-increasing--Span --reducing-&gt;</a:t>
                </a:r>
                <a:endParaRPr lang="en-GB" sz="1000" baseline="0"/>
              </a:p>
            </c:rich>
          </c:tx>
          <c:layout/>
        </c:title>
        <c:numFmt formatCode="0.0" sourceLinked="1"/>
        <c:tickLblPos val="low"/>
        <c:crossAx val="140431360"/>
        <c:crosses val="autoZero"/>
        <c:crossBetween val="midCat"/>
      </c:valAx>
      <c:valAx>
        <c:axId val="140431360"/>
        <c:scaling>
          <c:orientation val="minMax"/>
        </c:scaling>
        <c:axPos val="r"/>
        <c:majorGridlines/>
        <c:numFmt formatCode="0.0" sourceLinked="1"/>
        <c:tickLblPos val="nextTo"/>
        <c:crossAx val="140420992"/>
        <c:crosses val="autoZero"/>
        <c:crossBetween val="midCat"/>
      </c:valAx>
    </c:plotArea>
    <c:legend>
      <c:legendPos val="r"/>
      <c:layout/>
    </c:legend>
    <c:plotVisOnly val="1"/>
  </c:chart>
  <c:spPr>
    <a:ln w="22225">
      <a:solidFill>
        <a:srgbClr val="0070C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Sculls!$AH$152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Sculls!$AG$153:$AG$163</c:f>
              <c:numCache>
                <c:formatCode>0.0</c:formatCode>
                <c:ptCount val="11"/>
                <c:pt idx="0">
                  <c:v>90.5</c:v>
                </c:pt>
                <c:pt idx="1">
                  <c:v>90</c:v>
                </c:pt>
                <c:pt idx="2">
                  <c:v>89.5</c:v>
                </c:pt>
                <c:pt idx="3">
                  <c:v>89</c:v>
                </c:pt>
                <c:pt idx="4">
                  <c:v>88.5</c:v>
                </c:pt>
                <c:pt idx="5">
                  <c:v>88</c:v>
                </c:pt>
                <c:pt idx="6">
                  <c:v>87.5</c:v>
                </c:pt>
                <c:pt idx="7">
                  <c:v>87</c:v>
                </c:pt>
                <c:pt idx="8">
                  <c:v>86.5</c:v>
                </c:pt>
                <c:pt idx="9">
                  <c:v>86</c:v>
                </c:pt>
                <c:pt idx="10">
                  <c:v>85.5</c:v>
                </c:pt>
              </c:numCache>
            </c:numRef>
          </c:xVal>
          <c:yVal>
            <c:numRef>
              <c:f>Sculls!$AH$153:$AH$163</c:f>
              <c:numCache>
                <c:formatCode>0.0</c:formatCode>
                <c:ptCount val="11"/>
                <c:pt idx="0">
                  <c:v>-4.805292949382725</c:v>
                </c:pt>
                <c:pt idx="1">
                  <c:v>-3.8696046297422484</c:v>
                </c:pt>
                <c:pt idx="2">
                  <c:v>-2.9215156431661455</c:v>
                </c:pt>
                <c:pt idx="3">
                  <c:v>-1.9607466050479161</c:v>
                </c:pt>
                <c:pt idx="4">
                  <c:v>-0.98700807498272525</c:v>
                </c:pt>
                <c:pt idx="5">
                  <c:v>0</c:v>
                </c:pt>
                <c:pt idx="6">
                  <c:v>1.000588886594926</c:v>
                </c:pt>
                <c:pt idx="7">
                  <c:v>2.0150817154773222</c:v>
                </c:pt>
                <c:pt idx="8">
                  <c:v>3.0438141859864061</c:v>
                </c:pt>
                <c:pt idx="9">
                  <c:v>4.0871353312864755</c:v>
                </c:pt>
                <c:pt idx="10">
                  <c:v>5.1454083508931205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Sculls!$AI$152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Sculls!$AG$153:$AG$163</c:f>
              <c:numCache>
                <c:formatCode>0.0</c:formatCode>
                <c:ptCount val="11"/>
                <c:pt idx="0">
                  <c:v>90.5</c:v>
                </c:pt>
                <c:pt idx="1">
                  <c:v>90</c:v>
                </c:pt>
                <c:pt idx="2">
                  <c:v>89.5</c:v>
                </c:pt>
                <c:pt idx="3">
                  <c:v>89</c:v>
                </c:pt>
                <c:pt idx="4">
                  <c:v>88.5</c:v>
                </c:pt>
                <c:pt idx="5">
                  <c:v>88</c:v>
                </c:pt>
                <c:pt idx="6">
                  <c:v>87.5</c:v>
                </c:pt>
                <c:pt idx="7">
                  <c:v>87</c:v>
                </c:pt>
                <c:pt idx="8">
                  <c:v>86.5</c:v>
                </c:pt>
                <c:pt idx="9">
                  <c:v>86</c:v>
                </c:pt>
                <c:pt idx="10">
                  <c:v>85.5</c:v>
                </c:pt>
              </c:numCache>
            </c:numRef>
          </c:xVal>
          <c:yVal>
            <c:numRef>
              <c:f>Sculls!$AI$153:$AI$163</c:f>
              <c:numCache>
                <c:formatCode>0.0</c:formatCode>
                <c:ptCount val="11"/>
                <c:pt idx="0">
                  <c:v>1.5940108815950538</c:v>
                </c:pt>
                <c:pt idx="1">
                  <c:v>1.2856427798479899</c:v>
                </c:pt>
                <c:pt idx="2">
                  <c:v>0.97221108973712944</c:v>
                </c:pt>
                <c:pt idx="3">
                  <c:v>0.65356590451317231</c:v>
                </c:pt>
                <c:pt idx="4">
                  <c:v>0.32955032619305769</c:v>
                </c:pt>
                <c:pt idx="5">
                  <c:v>0</c:v>
                </c:pt>
                <c:pt idx="6">
                  <c:v>-0.33525739231079399</c:v>
                </c:pt>
                <c:pt idx="7">
                  <c:v>-0.67640268480923282</c:v>
                </c:pt>
                <c:pt idx="8">
                  <c:v>-1.0236258306145629</c:v>
                </c:pt>
                <c:pt idx="9">
                  <c:v>-1.3771265618852055</c:v>
                </c:pt>
                <c:pt idx="10">
                  <c:v>-1.737115113302572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Sculls!$AJ$152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Sculls!$AG$153:$AG$163</c:f>
              <c:numCache>
                <c:formatCode>0.0</c:formatCode>
                <c:ptCount val="11"/>
                <c:pt idx="0">
                  <c:v>90.5</c:v>
                </c:pt>
                <c:pt idx="1">
                  <c:v>90</c:v>
                </c:pt>
                <c:pt idx="2">
                  <c:v>89.5</c:v>
                </c:pt>
                <c:pt idx="3">
                  <c:v>89</c:v>
                </c:pt>
                <c:pt idx="4">
                  <c:v>88.5</c:v>
                </c:pt>
                <c:pt idx="5">
                  <c:v>88</c:v>
                </c:pt>
                <c:pt idx="6">
                  <c:v>87.5</c:v>
                </c:pt>
                <c:pt idx="7">
                  <c:v>87</c:v>
                </c:pt>
                <c:pt idx="8">
                  <c:v>86.5</c:v>
                </c:pt>
                <c:pt idx="9">
                  <c:v>86</c:v>
                </c:pt>
                <c:pt idx="10">
                  <c:v>85.5</c:v>
                </c:pt>
              </c:numCache>
            </c:numRef>
          </c:xVal>
          <c:yVal>
            <c:numRef>
              <c:f>Sculls!$AJ$153:$AJ$163</c:f>
              <c:numCache>
                <c:formatCode>0.0</c:formatCode>
                <c:ptCount val="11"/>
                <c:pt idx="0">
                  <c:v>-3.2112820677876641</c:v>
                </c:pt>
                <c:pt idx="1">
                  <c:v>-2.5839618498942514</c:v>
                </c:pt>
                <c:pt idx="2">
                  <c:v>-1.9493045534290019</c:v>
                </c:pt>
                <c:pt idx="3">
                  <c:v>-1.3071807005347438</c:v>
                </c:pt>
                <c:pt idx="4">
                  <c:v>-0.65745774878966756</c:v>
                </c:pt>
                <c:pt idx="5">
                  <c:v>0</c:v>
                </c:pt>
                <c:pt idx="6">
                  <c:v>0.66533149428414617</c:v>
                </c:pt>
                <c:pt idx="7">
                  <c:v>1.3386790306681036</c:v>
                </c:pt>
                <c:pt idx="8">
                  <c:v>2.0201883553718574</c:v>
                </c:pt>
                <c:pt idx="9">
                  <c:v>2.71000876940127</c:v>
                </c:pt>
                <c:pt idx="10">
                  <c:v>3.4082932375905557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Sculls!$AK$152</c:f>
              <c:strCache>
                <c:ptCount val="1"/>
                <c:pt idx="0">
                  <c:v>distance to move stretcher to stern (cm)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Sculls!$AG$153:$AG$163</c:f>
              <c:numCache>
                <c:formatCode>0.0</c:formatCode>
                <c:ptCount val="11"/>
                <c:pt idx="0">
                  <c:v>90.5</c:v>
                </c:pt>
                <c:pt idx="1">
                  <c:v>90</c:v>
                </c:pt>
                <c:pt idx="2">
                  <c:v>89.5</c:v>
                </c:pt>
                <c:pt idx="3">
                  <c:v>89</c:v>
                </c:pt>
                <c:pt idx="4">
                  <c:v>88.5</c:v>
                </c:pt>
                <c:pt idx="5">
                  <c:v>88</c:v>
                </c:pt>
                <c:pt idx="6">
                  <c:v>87.5</c:v>
                </c:pt>
                <c:pt idx="7">
                  <c:v>87</c:v>
                </c:pt>
                <c:pt idx="8">
                  <c:v>86.5</c:v>
                </c:pt>
                <c:pt idx="9">
                  <c:v>86</c:v>
                </c:pt>
                <c:pt idx="10">
                  <c:v>85.5</c:v>
                </c:pt>
              </c:numCache>
            </c:numRef>
          </c:xVal>
          <c:yVal>
            <c:numRef>
              <c:f>Sculls!$AK$153:$AK$163</c:f>
              <c:numCache>
                <c:formatCode>0.0</c:formatCode>
                <c:ptCount val="11"/>
                <c:pt idx="0">
                  <c:v>-3.5627349154972592</c:v>
                </c:pt>
                <c:pt idx="1">
                  <c:v>-2.8581052526884747</c:v>
                </c:pt>
                <c:pt idx="2">
                  <c:v>-2.1496479671262989</c:v>
                </c:pt>
                <c:pt idx="3">
                  <c:v>-1.4372353224189638</c:v>
                </c:pt>
                <c:pt idx="4">
                  <c:v>-0.72073307204308179</c:v>
                </c:pt>
                <c:pt idx="5">
                  <c:v>0</c:v>
                </c:pt>
                <c:pt idx="6">
                  <c:v>0.72511258057934214</c:v>
                </c:pt>
                <c:pt idx="7">
                  <c:v>1.4547613756610005</c:v>
                </c:pt>
                <c:pt idx="8">
                  <c:v>2.1891117107995512</c:v>
                </c:pt>
                <c:pt idx="9">
                  <c:v>2.928338190088084</c:v>
                </c:pt>
                <c:pt idx="10">
                  <c:v>3.6726254206437474</c:v>
                </c:pt>
              </c:numCache>
            </c:numRef>
          </c:yVal>
          <c:smooth val="1"/>
        </c:ser>
        <c:axId val="140461568"/>
        <c:axId val="140463488"/>
      </c:scatterChart>
      <c:valAx>
        <c:axId val="140461568"/>
        <c:scaling>
          <c:orientation val="maxMin"/>
          <c:max val="90.5"/>
          <c:min val="85.5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000" b="1" i="0" baseline="0"/>
                  <a:t>&lt;-increasing--inboard --reducing-&gt;</a:t>
                </a:r>
                <a:endParaRPr lang="en-GB" sz="1000" b="1" i="0" baseline="0"/>
              </a:p>
            </c:rich>
          </c:tx>
          <c:layout/>
        </c:title>
        <c:numFmt formatCode="0.0" sourceLinked="1"/>
        <c:tickLblPos val="low"/>
        <c:crossAx val="140463488"/>
        <c:crosses val="autoZero"/>
        <c:crossBetween val="midCat"/>
      </c:valAx>
      <c:valAx>
        <c:axId val="140463488"/>
        <c:scaling>
          <c:orientation val="minMax"/>
        </c:scaling>
        <c:axPos val="r"/>
        <c:majorGridlines/>
        <c:numFmt formatCode="0.0" sourceLinked="1"/>
        <c:tickLblPos val="nextTo"/>
        <c:crossAx val="140461568"/>
        <c:crosses val="autoZero"/>
        <c:crossBetween val="midCat"/>
      </c:valAx>
    </c:plotArea>
    <c:legend>
      <c:legendPos val="r"/>
      <c:layout/>
    </c:legend>
    <c:plotVisOnly val="1"/>
  </c:chart>
  <c:spPr>
    <a:ln w="22225">
      <a:solidFill>
        <a:srgbClr val="0070C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Sculls!$AH$167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Sculls!$AG$168:$AG$178</c:f>
              <c:numCache>
                <c:formatCode>0.0</c:formatCode>
                <c:ptCount val="11"/>
                <c:pt idx="0">
                  <c:v>90.5</c:v>
                </c:pt>
                <c:pt idx="1">
                  <c:v>90</c:v>
                </c:pt>
                <c:pt idx="2">
                  <c:v>89.5</c:v>
                </c:pt>
                <c:pt idx="3">
                  <c:v>89</c:v>
                </c:pt>
                <c:pt idx="4">
                  <c:v>88.5</c:v>
                </c:pt>
                <c:pt idx="5">
                  <c:v>88</c:v>
                </c:pt>
                <c:pt idx="6">
                  <c:v>87.5</c:v>
                </c:pt>
                <c:pt idx="7">
                  <c:v>87</c:v>
                </c:pt>
                <c:pt idx="8">
                  <c:v>86.5</c:v>
                </c:pt>
                <c:pt idx="9">
                  <c:v>86</c:v>
                </c:pt>
                <c:pt idx="10">
                  <c:v>85.5</c:v>
                </c:pt>
              </c:numCache>
            </c:numRef>
          </c:xVal>
          <c:yVal>
            <c:numRef>
              <c:f>Sculls!$AH$168:$AH$178</c:f>
              <c:numCache>
                <c:formatCode>0.0</c:formatCode>
                <c:ptCount val="11"/>
                <c:pt idx="0">
                  <c:v>-5.2356951907129314</c:v>
                </c:pt>
                <c:pt idx="1">
                  <c:v>-4.1489114005751873</c:v>
                </c:pt>
                <c:pt idx="2">
                  <c:v>-3.0821523500404027</c:v>
                </c:pt>
                <c:pt idx="3">
                  <c:v>-2.0352010996963799</c:v>
                </c:pt>
                <c:pt idx="4">
                  <c:v>-1.007870461637367</c:v>
                </c:pt>
                <c:pt idx="5">
                  <c:v>0</c:v>
                </c:pt>
                <c:pt idx="6">
                  <c:v>0.98854647247328842</c:v>
                </c:pt>
                <c:pt idx="7">
                  <c:v>1.9578829719284698</c:v>
                </c:pt>
                <c:pt idx="8">
                  <c:v>2.9081030516197615</c:v>
                </c:pt>
                <c:pt idx="9">
                  <c:v>3.8392811866539631</c:v>
                </c:pt>
                <c:pt idx="10">
                  <c:v>4.7514738721448424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Sculls!$AI$167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Sculls!$AG$168:$AG$178</c:f>
              <c:numCache>
                <c:formatCode>0.0</c:formatCode>
                <c:ptCount val="11"/>
                <c:pt idx="0">
                  <c:v>90.5</c:v>
                </c:pt>
                <c:pt idx="1">
                  <c:v>90</c:v>
                </c:pt>
                <c:pt idx="2">
                  <c:v>89.5</c:v>
                </c:pt>
                <c:pt idx="3">
                  <c:v>89</c:v>
                </c:pt>
                <c:pt idx="4">
                  <c:v>88.5</c:v>
                </c:pt>
                <c:pt idx="5">
                  <c:v>88</c:v>
                </c:pt>
                <c:pt idx="6">
                  <c:v>87.5</c:v>
                </c:pt>
                <c:pt idx="7">
                  <c:v>87</c:v>
                </c:pt>
                <c:pt idx="8">
                  <c:v>86.5</c:v>
                </c:pt>
                <c:pt idx="9">
                  <c:v>86</c:v>
                </c:pt>
                <c:pt idx="10">
                  <c:v>85.5</c:v>
                </c:pt>
              </c:numCache>
            </c:numRef>
          </c:xVal>
          <c:yVal>
            <c:numRef>
              <c:f>Sculls!$AI$168:$AI$178</c:f>
              <c:numCache>
                <c:formatCode>0.0</c:formatCode>
                <c:ptCount val="11"/>
                <c:pt idx="0">
                  <c:v>1.5940108815950538</c:v>
                </c:pt>
                <c:pt idx="1">
                  <c:v>1.2856427798479899</c:v>
                </c:pt>
                <c:pt idx="2">
                  <c:v>0.97221108973712944</c:v>
                </c:pt>
                <c:pt idx="3">
                  <c:v>0.65356590451317231</c:v>
                </c:pt>
                <c:pt idx="4">
                  <c:v>0.32955032619305769</c:v>
                </c:pt>
                <c:pt idx="5">
                  <c:v>0</c:v>
                </c:pt>
                <c:pt idx="6">
                  <c:v>-0.33525739231079399</c:v>
                </c:pt>
                <c:pt idx="7">
                  <c:v>-0.67640268480923282</c:v>
                </c:pt>
                <c:pt idx="8">
                  <c:v>-1.0236258306145629</c:v>
                </c:pt>
                <c:pt idx="9">
                  <c:v>-1.3771265618852055</c:v>
                </c:pt>
                <c:pt idx="10">
                  <c:v>-1.737115113302572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Sculls!$AJ$167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Sculls!$AG$168:$AG$178</c:f>
              <c:numCache>
                <c:formatCode>0.0</c:formatCode>
                <c:ptCount val="11"/>
                <c:pt idx="0">
                  <c:v>90.5</c:v>
                </c:pt>
                <c:pt idx="1">
                  <c:v>90</c:v>
                </c:pt>
                <c:pt idx="2">
                  <c:v>89.5</c:v>
                </c:pt>
                <c:pt idx="3">
                  <c:v>89</c:v>
                </c:pt>
                <c:pt idx="4">
                  <c:v>88.5</c:v>
                </c:pt>
                <c:pt idx="5">
                  <c:v>88</c:v>
                </c:pt>
                <c:pt idx="6">
                  <c:v>87.5</c:v>
                </c:pt>
                <c:pt idx="7">
                  <c:v>87</c:v>
                </c:pt>
                <c:pt idx="8">
                  <c:v>86.5</c:v>
                </c:pt>
                <c:pt idx="9">
                  <c:v>86</c:v>
                </c:pt>
                <c:pt idx="10">
                  <c:v>85.5</c:v>
                </c:pt>
              </c:numCache>
            </c:numRef>
          </c:xVal>
          <c:yVal>
            <c:numRef>
              <c:f>Sculls!$AJ$168:$AJ$178</c:f>
              <c:numCache>
                <c:formatCode>0.0</c:formatCode>
                <c:ptCount val="11"/>
                <c:pt idx="0">
                  <c:v>-3.6416843091178777</c:v>
                </c:pt>
                <c:pt idx="1">
                  <c:v>-2.8632686207271973</c:v>
                </c:pt>
                <c:pt idx="2">
                  <c:v>-2.1099412603032732</c:v>
                </c:pt>
                <c:pt idx="3">
                  <c:v>-1.3816351951832218</c:v>
                </c:pt>
                <c:pt idx="4">
                  <c:v>-0.67832013544430936</c:v>
                </c:pt>
                <c:pt idx="5">
                  <c:v>0</c:v>
                </c:pt>
                <c:pt idx="6">
                  <c:v>0.65328908016248022</c:v>
                </c:pt>
                <c:pt idx="7">
                  <c:v>1.281480287119237</c:v>
                </c:pt>
                <c:pt idx="8">
                  <c:v>1.8844772210051843</c:v>
                </c:pt>
                <c:pt idx="9">
                  <c:v>2.4621546247687576</c:v>
                </c:pt>
                <c:pt idx="10">
                  <c:v>3.0143587588422633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Sculls!$AK$167</c:f>
              <c:strCache>
                <c:ptCount val="1"/>
                <c:pt idx="0">
                  <c:v>distance to move stretcher to stern (cm)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Sculls!$AG$168:$AG$178</c:f>
              <c:numCache>
                <c:formatCode>0.0</c:formatCode>
                <c:ptCount val="11"/>
                <c:pt idx="0">
                  <c:v>90.5</c:v>
                </c:pt>
                <c:pt idx="1">
                  <c:v>90</c:v>
                </c:pt>
                <c:pt idx="2">
                  <c:v>89.5</c:v>
                </c:pt>
                <c:pt idx="3">
                  <c:v>89</c:v>
                </c:pt>
                <c:pt idx="4">
                  <c:v>88.5</c:v>
                </c:pt>
                <c:pt idx="5">
                  <c:v>88</c:v>
                </c:pt>
                <c:pt idx="6">
                  <c:v>87.5</c:v>
                </c:pt>
                <c:pt idx="7">
                  <c:v>87</c:v>
                </c:pt>
                <c:pt idx="8">
                  <c:v>86.5</c:v>
                </c:pt>
                <c:pt idx="9">
                  <c:v>86</c:v>
                </c:pt>
                <c:pt idx="10">
                  <c:v>85.5</c:v>
                </c:pt>
              </c:numCache>
            </c:numRef>
          </c:xVal>
          <c:yVal>
            <c:numRef>
              <c:f>Sculls!$AK$168:$AK$178</c:f>
              <c:numCache>
                <c:formatCode>0.0</c:formatCode>
                <c:ptCount val="11"/>
                <c:pt idx="0">
                  <c:v>-3.5627349154972592</c:v>
                </c:pt>
                <c:pt idx="1">
                  <c:v>-2.8581052526884747</c:v>
                </c:pt>
                <c:pt idx="2">
                  <c:v>-2.1496479671262989</c:v>
                </c:pt>
                <c:pt idx="3">
                  <c:v>-1.4372353224189638</c:v>
                </c:pt>
                <c:pt idx="4">
                  <c:v>-0.72073307204308179</c:v>
                </c:pt>
                <c:pt idx="5">
                  <c:v>0</c:v>
                </c:pt>
                <c:pt idx="6">
                  <c:v>0.72511258057934214</c:v>
                </c:pt>
                <c:pt idx="7">
                  <c:v>1.4547613756610005</c:v>
                </c:pt>
                <c:pt idx="8">
                  <c:v>2.1891117107995512</c:v>
                </c:pt>
                <c:pt idx="9">
                  <c:v>2.928338190088084</c:v>
                </c:pt>
                <c:pt idx="10">
                  <c:v>3.6726254206437474</c:v>
                </c:pt>
              </c:numCache>
            </c:numRef>
          </c:yVal>
          <c:smooth val="1"/>
        </c:ser>
        <c:axId val="140510336"/>
        <c:axId val="140512256"/>
      </c:scatterChart>
      <c:valAx>
        <c:axId val="140510336"/>
        <c:scaling>
          <c:orientation val="maxMin"/>
          <c:max val="90.5"/>
          <c:min val="85.5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000" b="1" i="0" baseline="0"/>
                  <a:t>&lt;-increasing--inboard --reducing-&gt;</a:t>
                </a:r>
                <a:endParaRPr lang="en-GB" sz="1000" b="1" i="0" baseline="0"/>
              </a:p>
            </c:rich>
          </c:tx>
          <c:layout/>
        </c:title>
        <c:numFmt formatCode="0.0" sourceLinked="1"/>
        <c:tickLblPos val="low"/>
        <c:crossAx val="140512256"/>
        <c:crosses val="autoZero"/>
        <c:crossBetween val="midCat"/>
      </c:valAx>
      <c:valAx>
        <c:axId val="140512256"/>
        <c:scaling>
          <c:orientation val="minMax"/>
        </c:scaling>
        <c:axPos val="r"/>
        <c:majorGridlines/>
        <c:numFmt formatCode="0.0" sourceLinked="1"/>
        <c:tickLblPos val="nextTo"/>
        <c:crossAx val="140510336"/>
        <c:crosses val="autoZero"/>
        <c:crossBetween val="midCat"/>
      </c:valAx>
    </c:plotArea>
    <c:legend>
      <c:legendPos val="r"/>
      <c:layout/>
    </c:legend>
    <c:plotVisOnly val="1"/>
  </c:chart>
  <c:spPr>
    <a:ln w="22225">
      <a:solidFill>
        <a:srgbClr val="0070C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Sculls!$AH$182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Sculls!$AG$183:$AG$193</c:f>
              <c:numCache>
                <c:formatCode>0.0</c:formatCode>
                <c:ptCount val="11"/>
                <c:pt idx="0">
                  <c:v>93</c:v>
                </c:pt>
                <c:pt idx="1">
                  <c:v>92</c:v>
                </c:pt>
                <c:pt idx="2">
                  <c:v>91</c:v>
                </c:pt>
                <c:pt idx="3">
                  <c:v>90</c:v>
                </c:pt>
                <c:pt idx="4">
                  <c:v>89</c:v>
                </c:pt>
                <c:pt idx="5">
                  <c:v>88</c:v>
                </c:pt>
                <c:pt idx="6">
                  <c:v>87</c:v>
                </c:pt>
                <c:pt idx="7">
                  <c:v>86</c:v>
                </c:pt>
                <c:pt idx="8">
                  <c:v>85</c:v>
                </c:pt>
                <c:pt idx="9">
                  <c:v>84</c:v>
                </c:pt>
                <c:pt idx="10">
                  <c:v>83</c:v>
                </c:pt>
              </c:numCache>
            </c:numRef>
          </c:xVal>
          <c:yVal>
            <c:numRef>
              <c:f>Sculls!$AH$183:$AH$193</c:f>
              <c:numCache>
                <c:formatCode>0.0</c:formatCode>
                <c:ptCount val="11"/>
                <c:pt idx="0">
                  <c:v>-3.4196185253684561</c:v>
                </c:pt>
                <c:pt idx="1">
                  <c:v>-2.7587967788919912</c:v>
                </c:pt>
                <c:pt idx="2">
                  <c:v>-2.0865231829094313</c:v>
                </c:pt>
                <c:pt idx="3">
                  <c:v>-1.4026857258707821</c:v>
                </c:pt>
                <c:pt idx="4">
                  <c:v>-0.70719704710629117</c:v>
                </c:pt>
                <c:pt idx="5">
                  <c:v>0</c:v>
                </c:pt>
                <c:pt idx="6">
                  <c:v>0.71892566746622322</c:v>
                </c:pt>
                <c:pt idx="7">
                  <c:v>1.4495552642844984</c:v>
                </c:pt>
                <c:pt idx="8">
                  <c:v>2.1918094239649264</c:v>
                </c:pt>
                <c:pt idx="9">
                  <c:v>2.9455422860271767</c:v>
                </c:pt>
                <c:pt idx="10">
                  <c:v>3.7105270759486757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Sculls!$AI$182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Sculls!$AG$183:$AG$193</c:f>
              <c:numCache>
                <c:formatCode>0.0</c:formatCode>
                <c:ptCount val="11"/>
                <c:pt idx="0">
                  <c:v>93</c:v>
                </c:pt>
                <c:pt idx="1">
                  <c:v>92</c:v>
                </c:pt>
                <c:pt idx="2">
                  <c:v>91</c:v>
                </c:pt>
                <c:pt idx="3">
                  <c:v>90</c:v>
                </c:pt>
                <c:pt idx="4">
                  <c:v>89</c:v>
                </c:pt>
                <c:pt idx="5">
                  <c:v>88</c:v>
                </c:pt>
                <c:pt idx="6">
                  <c:v>87</c:v>
                </c:pt>
                <c:pt idx="7">
                  <c:v>86</c:v>
                </c:pt>
                <c:pt idx="8">
                  <c:v>85</c:v>
                </c:pt>
                <c:pt idx="9">
                  <c:v>84</c:v>
                </c:pt>
                <c:pt idx="10">
                  <c:v>83</c:v>
                </c:pt>
              </c:numCache>
            </c:numRef>
          </c:xVal>
          <c:yVal>
            <c:numRef>
              <c:f>Sculls!$AI$183:$AI$193</c:f>
              <c:numCache>
                <c:formatCode>0.0</c:formatCode>
                <c:ptCount val="11"/>
                <c:pt idx="0">
                  <c:v>-2.8225365052749396</c:v>
                </c:pt>
                <c:pt idx="1">
                  <c:v>-2.2916741095376807</c:v>
                </c:pt>
                <c:pt idx="2">
                  <c:v>-1.7448685255544447</c:v>
                </c:pt>
                <c:pt idx="3">
                  <c:v>-1.1812761240234693</c:v>
                </c:pt>
                <c:pt idx="4">
                  <c:v>-0.59998365342845261</c:v>
                </c:pt>
                <c:pt idx="5">
                  <c:v>0</c:v>
                </c:pt>
                <c:pt idx="6">
                  <c:v>0.61975336320188745</c:v>
                </c:pt>
                <c:pt idx="7">
                  <c:v>1.2604535051167858</c:v>
                </c:pt>
                <c:pt idx="8">
                  <c:v>1.9233890777185181</c:v>
                </c:pt>
                <c:pt idx="9">
                  <c:v>2.6099756912454382</c:v>
                </c:pt>
                <c:pt idx="10">
                  <c:v>3.3217741611052674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Sculls!$AJ$182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Sculls!$AG$183:$AG$193</c:f>
              <c:numCache>
                <c:formatCode>0.0</c:formatCode>
                <c:ptCount val="11"/>
                <c:pt idx="0">
                  <c:v>93</c:v>
                </c:pt>
                <c:pt idx="1">
                  <c:v>92</c:v>
                </c:pt>
                <c:pt idx="2">
                  <c:v>91</c:v>
                </c:pt>
                <c:pt idx="3">
                  <c:v>90</c:v>
                </c:pt>
                <c:pt idx="4">
                  <c:v>89</c:v>
                </c:pt>
                <c:pt idx="5">
                  <c:v>88</c:v>
                </c:pt>
                <c:pt idx="6">
                  <c:v>87</c:v>
                </c:pt>
                <c:pt idx="7">
                  <c:v>86</c:v>
                </c:pt>
                <c:pt idx="8">
                  <c:v>85</c:v>
                </c:pt>
                <c:pt idx="9">
                  <c:v>84</c:v>
                </c:pt>
                <c:pt idx="10">
                  <c:v>83</c:v>
                </c:pt>
              </c:numCache>
            </c:numRef>
          </c:xVal>
          <c:yVal>
            <c:numRef>
              <c:f>Sculls!$AJ$183:$AJ$193</c:f>
              <c:numCache>
                <c:formatCode>0.0</c:formatCode>
                <c:ptCount val="11"/>
                <c:pt idx="0">
                  <c:v>-6.2421550306434028</c:v>
                </c:pt>
                <c:pt idx="1">
                  <c:v>-5.0504708884296718</c:v>
                </c:pt>
                <c:pt idx="2">
                  <c:v>-3.8313917084638831</c:v>
                </c:pt>
                <c:pt idx="3">
                  <c:v>-2.5839618498942514</c:v>
                </c:pt>
                <c:pt idx="4">
                  <c:v>-1.3071807005347438</c:v>
                </c:pt>
                <c:pt idx="5">
                  <c:v>0</c:v>
                </c:pt>
                <c:pt idx="6">
                  <c:v>1.3386790306681036</c:v>
                </c:pt>
                <c:pt idx="7">
                  <c:v>2.71000876940127</c:v>
                </c:pt>
                <c:pt idx="8">
                  <c:v>4.1151985016834374</c:v>
                </c:pt>
                <c:pt idx="9">
                  <c:v>5.5555179772726149</c:v>
                </c:pt>
                <c:pt idx="10">
                  <c:v>7.0323012370539431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Sculls!$AK$182</c:f>
              <c:strCache>
                <c:ptCount val="1"/>
                <c:pt idx="0">
                  <c:v>change in distance between handles (cm / cm)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xVal>
            <c:numRef>
              <c:f>Sculls!$AG$183:$AG$193</c:f>
              <c:numCache>
                <c:formatCode>0.0</c:formatCode>
                <c:ptCount val="11"/>
                <c:pt idx="0">
                  <c:v>93</c:v>
                </c:pt>
                <c:pt idx="1">
                  <c:v>92</c:v>
                </c:pt>
                <c:pt idx="2">
                  <c:v>91</c:v>
                </c:pt>
                <c:pt idx="3">
                  <c:v>90</c:v>
                </c:pt>
                <c:pt idx="4">
                  <c:v>89</c:v>
                </c:pt>
                <c:pt idx="5">
                  <c:v>88</c:v>
                </c:pt>
                <c:pt idx="6">
                  <c:v>87</c:v>
                </c:pt>
                <c:pt idx="7">
                  <c:v>86</c:v>
                </c:pt>
                <c:pt idx="8">
                  <c:v>85</c:v>
                </c:pt>
                <c:pt idx="9">
                  <c:v>84</c:v>
                </c:pt>
                <c:pt idx="10">
                  <c:v>83</c:v>
                </c:pt>
              </c:numCache>
            </c:numRef>
          </c:xVal>
          <c:yVal>
            <c:numRef>
              <c:f>Sculls!$AK$183:$AK$193</c:f>
              <c:numCache>
                <c:formatCode>0.0</c:formatCode>
                <c:ptCount val="11"/>
                <c:pt idx="0">
                  <c:v>-13.527000944073251</c:v>
                </c:pt>
                <c:pt idx="1">
                  <c:v>-10.868733223522696</c:v>
                </c:pt>
                <c:pt idx="2">
                  <c:v>-8.1882773609976027</c:v>
                </c:pt>
                <c:pt idx="3">
                  <c:v>-5.4843164355195881</c:v>
                </c:pt>
                <c:pt idx="4">
                  <c:v>-2.7554142022087262</c:v>
                </c:pt>
                <c:pt idx="5">
                  <c:v>0</c:v>
                </c:pt>
                <c:pt idx="6">
                  <c:v>2.7836488496859744</c:v>
                </c:pt>
                <c:pt idx="7">
                  <c:v>5.5974276793280779</c:v>
                </c:pt>
                <c:pt idx="8">
                  <c:v>8.4434288078180089</c:v>
                </c:pt>
                <c:pt idx="9">
                  <c:v>11.323970406825595</c:v>
                </c:pt>
                <c:pt idx="10">
                  <c:v>14.241630972097738</c:v>
                </c:pt>
              </c:numCache>
            </c:numRef>
          </c:yVal>
          <c:smooth val="1"/>
        </c:ser>
        <c:axId val="140551296"/>
        <c:axId val="140553216"/>
      </c:scatterChart>
      <c:valAx>
        <c:axId val="140551296"/>
        <c:scaling>
          <c:orientation val="maxMin"/>
          <c:max val="90.5"/>
          <c:min val="85.5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000" b="1" i="0" baseline="0"/>
                  <a:t>&lt;-increasing--Inboard --reducing-&gt;</a:t>
                </a:r>
                <a:endParaRPr lang="en-GB" sz="1000" b="1" i="0" baseline="0"/>
              </a:p>
            </c:rich>
          </c:tx>
          <c:layout/>
        </c:title>
        <c:numFmt formatCode="0.0" sourceLinked="1"/>
        <c:tickLblPos val="low"/>
        <c:crossAx val="140553216"/>
        <c:crosses val="autoZero"/>
        <c:crossBetween val="midCat"/>
      </c:valAx>
      <c:valAx>
        <c:axId val="140553216"/>
        <c:scaling>
          <c:orientation val="minMax"/>
        </c:scaling>
        <c:axPos val="r"/>
        <c:majorGridlines/>
        <c:numFmt formatCode="0.0" sourceLinked="1"/>
        <c:tickLblPos val="nextTo"/>
        <c:crossAx val="14055129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4661899293734004"/>
          <c:y val="8.0392958897961733E-2"/>
          <c:w val="0.23086708809583917"/>
          <c:h val="0.81596377869477188"/>
        </c:manualLayout>
      </c:layout>
    </c:legend>
    <c:plotVisOnly val="1"/>
  </c:chart>
  <c:spPr>
    <a:ln w="25400">
      <a:solidFill>
        <a:srgbClr val="0070C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Sculls!$AH$197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Sculls!$AG$198:$AG$208</c:f>
              <c:numCache>
                <c:formatCode>0.0</c:formatCode>
                <c:ptCount val="11"/>
                <c:pt idx="0">
                  <c:v>93</c:v>
                </c:pt>
                <c:pt idx="1">
                  <c:v>92</c:v>
                </c:pt>
                <c:pt idx="2">
                  <c:v>91</c:v>
                </c:pt>
                <c:pt idx="3">
                  <c:v>90</c:v>
                </c:pt>
                <c:pt idx="4">
                  <c:v>89</c:v>
                </c:pt>
                <c:pt idx="5">
                  <c:v>88</c:v>
                </c:pt>
                <c:pt idx="6">
                  <c:v>87</c:v>
                </c:pt>
                <c:pt idx="7">
                  <c:v>86</c:v>
                </c:pt>
                <c:pt idx="8">
                  <c:v>85</c:v>
                </c:pt>
                <c:pt idx="9">
                  <c:v>84</c:v>
                </c:pt>
                <c:pt idx="10">
                  <c:v>83</c:v>
                </c:pt>
              </c:numCache>
            </c:numRef>
          </c:xVal>
          <c:yVal>
            <c:numRef>
              <c:f>Sculls!$AH$198:$AH$208</c:f>
              <c:numCache>
                <c:formatCode>0.0</c:formatCode>
                <c:ptCount val="11"/>
                <c:pt idx="0">
                  <c:v>-3.7119908280523362</c:v>
                </c:pt>
                <c:pt idx="1">
                  <c:v>-2.9357518186829026</c:v>
                </c:pt>
                <c:pt idx="2">
                  <c:v>-2.1775067250515576</c:v>
                </c:pt>
                <c:pt idx="3">
                  <c:v>-1.4361211387424078</c:v>
                </c:pt>
                <c:pt idx="4">
                  <c:v>-0.71058598548013663</c:v>
                </c:pt>
                <c:pt idx="5">
                  <c:v>0</c:v>
                </c:pt>
                <c:pt idx="6">
                  <c:v>0.69644469766080874</c:v>
                </c:pt>
                <c:pt idx="7">
                  <c:v>1.3794745637704722</c:v>
                </c:pt>
                <c:pt idx="8">
                  <c:v>2.0497446190448727</c:v>
                </c:pt>
                <c:pt idx="9">
                  <c:v>2.7078468407688092</c:v>
                </c:pt>
                <c:pt idx="10">
                  <c:v>3.3543172532957044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Sculls!$AI$197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Sculls!$AG$198:$AG$208</c:f>
              <c:numCache>
                <c:formatCode>0.0</c:formatCode>
                <c:ptCount val="11"/>
                <c:pt idx="0">
                  <c:v>93</c:v>
                </c:pt>
                <c:pt idx="1">
                  <c:v>92</c:v>
                </c:pt>
                <c:pt idx="2">
                  <c:v>91</c:v>
                </c:pt>
                <c:pt idx="3">
                  <c:v>90</c:v>
                </c:pt>
                <c:pt idx="4">
                  <c:v>89</c:v>
                </c:pt>
                <c:pt idx="5">
                  <c:v>88</c:v>
                </c:pt>
                <c:pt idx="6">
                  <c:v>87</c:v>
                </c:pt>
                <c:pt idx="7">
                  <c:v>86</c:v>
                </c:pt>
                <c:pt idx="8">
                  <c:v>85</c:v>
                </c:pt>
                <c:pt idx="9">
                  <c:v>84</c:v>
                </c:pt>
                <c:pt idx="10">
                  <c:v>83</c:v>
                </c:pt>
              </c:numCache>
            </c:numRef>
          </c:xVal>
          <c:yVal>
            <c:numRef>
              <c:f>Sculls!$AI$198:$AI$208</c:f>
              <c:numCache>
                <c:formatCode>0.0</c:formatCode>
                <c:ptCount val="11"/>
                <c:pt idx="0">
                  <c:v>-2.8225365052749538</c:v>
                </c:pt>
                <c:pt idx="1">
                  <c:v>-2.2916741095376949</c:v>
                </c:pt>
                <c:pt idx="2">
                  <c:v>-1.7448685255544447</c:v>
                </c:pt>
                <c:pt idx="3">
                  <c:v>-1.1812761240234835</c:v>
                </c:pt>
                <c:pt idx="4">
                  <c:v>-0.59998365342846682</c:v>
                </c:pt>
                <c:pt idx="5">
                  <c:v>0</c:v>
                </c:pt>
                <c:pt idx="6">
                  <c:v>0.61975336320186614</c:v>
                </c:pt>
                <c:pt idx="7">
                  <c:v>1.2604535051167645</c:v>
                </c:pt>
                <c:pt idx="8">
                  <c:v>1.9233890777185039</c:v>
                </c:pt>
                <c:pt idx="9">
                  <c:v>2.6099756912454239</c:v>
                </c:pt>
                <c:pt idx="10">
                  <c:v>3.3217741611052531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Sculls!$AJ$197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Sculls!$AG$198:$AG$208</c:f>
              <c:numCache>
                <c:formatCode>0.0</c:formatCode>
                <c:ptCount val="11"/>
                <c:pt idx="0">
                  <c:v>93</c:v>
                </c:pt>
                <c:pt idx="1">
                  <c:v>92</c:v>
                </c:pt>
                <c:pt idx="2">
                  <c:v>91</c:v>
                </c:pt>
                <c:pt idx="3">
                  <c:v>90</c:v>
                </c:pt>
                <c:pt idx="4">
                  <c:v>89</c:v>
                </c:pt>
                <c:pt idx="5">
                  <c:v>88</c:v>
                </c:pt>
                <c:pt idx="6">
                  <c:v>87</c:v>
                </c:pt>
                <c:pt idx="7">
                  <c:v>86</c:v>
                </c:pt>
                <c:pt idx="8">
                  <c:v>85</c:v>
                </c:pt>
                <c:pt idx="9">
                  <c:v>84</c:v>
                </c:pt>
                <c:pt idx="10">
                  <c:v>83</c:v>
                </c:pt>
              </c:numCache>
            </c:numRef>
          </c:xVal>
          <c:yVal>
            <c:numRef>
              <c:f>Sculls!$AJ$198:$AJ$208</c:f>
              <c:numCache>
                <c:formatCode>0.0</c:formatCode>
                <c:ptCount val="11"/>
                <c:pt idx="0">
                  <c:v>-6.53452733332729</c:v>
                </c:pt>
                <c:pt idx="1">
                  <c:v>-5.2274259282205975</c:v>
                </c:pt>
                <c:pt idx="2">
                  <c:v>-3.9223752506060094</c:v>
                </c:pt>
                <c:pt idx="3">
                  <c:v>-2.6173972627658912</c:v>
                </c:pt>
                <c:pt idx="4">
                  <c:v>-1.3105696389086035</c:v>
                </c:pt>
                <c:pt idx="5">
                  <c:v>0</c:v>
                </c:pt>
                <c:pt idx="6">
                  <c:v>1.3161980608626749</c:v>
                </c:pt>
                <c:pt idx="7">
                  <c:v>2.6399280688872295</c:v>
                </c:pt>
                <c:pt idx="8">
                  <c:v>3.9731336967633695</c:v>
                </c:pt>
                <c:pt idx="9">
                  <c:v>5.3178225320142332</c:v>
                </c:pt>
                <c:pt idx="10">
                  <c:v>6.6760914144009433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Sculls!$AK$197</c:f>
              <c:strCache>
                <c:ptCount val="1"/>
                <c:pt idx="0">
                  <c:v>change in distance between handles (cm / cm)</c:v>
                </c:pt>
              </c:strCache>
            </c:strRef>
          </c:tx>
          <c:spPr>
            <a:ln>
              <a:prstDash val="dashDot"/>
            </a:ln>
          </c:spPr>
          <c:marker>
            <c:symbol val="none"/>
          </c:marker>
          <c:xVal>
            <c:numRef>
              <c:f>Sculls!$AG$198:$AG$208</c:f>
              <c:numCache>
                <c:formatCode>0.0</c:formatCode>
                <c:ptCount val="11"/>
                <c:pt idx="0">
                  <c:v>93</c:v>
                </c:pt>
                <c:pt idx="1">
                  <c:v>92</c:v>
                </c:pt>
                <c:pt idx="2">
                  <c:v>91</c:v>
                </c:pt>
                <c:pt idx="3">
                  <c:v>90</c:v>
                </c:pt>
                <c:pt idx="4">
                  <c:v>89</c:v>
                </c:pt>
                <c:pt idx="5">
                  <c:v>88</c:v>
                </c:pt>
                <c:pt idx="6">
                  <c:v>87</c:v>
                </c:pt>
                <c:pt idx="7">
                  <c:v>86</c:v>
                </c:pt>
                <c:pt idx="8">
                  <c:v>85</c:v>
                </c:pt>
                <c:pt idx="9">
                  <c:v>84</c:v>
                </c:pt>
                <c:pt idx="10">
                  <c:v>83</c:v>
                </c:pt>
              </c:numCache>
            </c:numRef>
          </c:xVal>
          <c:yVal>
            <c:numRef>
              <c:f>Sculls!$AK$198:$AK$208</c:f>
              <c:numCache>
                <c:formatCode>0.0</c:formatCode>
                <c:ptCount val="11"/>
                <c:pt idx="0">
                  <c:v>-13.527000944073251</c:v>
                </c:pt>
                <c:pt idx="1">
                  <c:v>-10.868733223522696</c:v>
                </c:pt>
                <c:pt idx="2">
                  <c:v>-8.1882773609976027</c:v>
                </c:pt>
                <c:pt idx="3">
                  <c:v>-5.4843164355195881</c:v>
                </c:pt>
                <c:pt idx="4">
                  <c:v>-2.7554142022087262</c:v>
                </c:pt>
                <c:pt idx="5">
                  <c:v>0</c:v>
                </c:pt>
                <c:pt idx="6">
                  <c:v>2.7836488496859744</c:v>
                </c:pt>
                <c:pt idx="7">
                  <c:v>5.5974276793280779</c:v>
                </c:pt>
                <c:pt idx="8">
                  <c:v>8.4434288078180089</c:v>
                </c:pt>
                <c:pt idx="9">
                  <c:v>11.323970406825595</c:v>
                </c:pt>
                <c:pt idx="10">
                  <c:v>14.241630972097738</c:v>
                </c:pt>
              </c:numCache>
            </c:numRef>
          </c:yVal>
          <c:smooth val="1"/>
        </c:ser>
        <c:axId val="141128064"/>
        <c:axId val="141129984"/>
      </c:scatterChart>
      <c:valAx>
        <c:axId val="141128064"/>
        <c:scaling>
          <c:orientation val="maxMin"/>
          <c:max val="90.5"/>
          <c:min val="85.5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000" b="1" i="0" baseline="0"/>
                  <a:t>&lt;-increasing--Inboard --reducing-&gt;</a:t>
                </a:r>
                <a:endParaRPr lang="en-GB" sz="1000" b="1" i="0" baseline="0"/>
              </a:p>
            </c:rich>
          </c:tx>
          <c:layout/>
        </c:title>
        <c:numFmt formatCode="0.0" sourceLinked="1"/>
        <c:tickLblPos val="low"/>
        <c:crossAx val="141129984"/>
        <c:crosses val="autoZero"/>
        <c:crossBetween val="midCat"/>
      </c:valAx>
      <c:valAx>
        <c:axId val="141129984"/>
        <c:scaling>
          <c:orientation val="minMax"/>
        </c:scaling>
        <c:axPos val="r"/>
        <c:majorGridlines/>
        <c:numFmt formatCode="0.0" sourceLinked="1"/>
        <c:tickLblPos val="nextTo"/>
        <c:crossAx val="141128064"/>
        <c:crosses val="autoZero"/>
        <c:crossBetween val="midCat"/>
      </c:valAx>
    </c:plotArea>
    <c:legend>
      <c:legendPos val="r"/>
      <c:layout/>
    </c:legend>
    <c:plotVisOnly val="1"/>
  </c:chart>
  <c:spPr>
    <a:ln w="22225">
      <a:solidFill>
        <a:srgbClr val="0070C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9.879978811965362E-2"/>
          <c:y val="2.1971474917709292E-2"/>
          <c:w val="0.47252784636799472"/>
          <c:h val="0.84590824645577956"/>
        </c:manualLayout>
      </c:layout>
      <c:scatterChart>
        <c:scatterStyle val="smoothMarker"/>
        <c:ser>
          <c:idx val="0"/>
          <c:order val="0"/>
          <c:tx>
            <c:strRef>
              <c:f>Sculls!$AH$92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Sculls!$AG$93:$AG$103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Sculls!$AH$93:$AH$103</c:f>
              <c:numCache>
                <c:formatCode>0.0</c:formatCode>
                <c:ptCount val="11"/>
                <c:pt idx="0">
                  <c:v>-2.4994797120447672</c:v>
                </c:pt>
                <c:pt idx="1">
                  <c:v>-2.0119687755355145</c:v>
                </c:pt>
                <c:pt idx="2">
                  <c:v>-1.5183773440431381</c:v>
                </c:pt>
                <c:pt idx="3">
                  <c:v>-1.0185947521796308</c:v>
                </c:pt>
                <c:pt idx="4">
                  <c:v>-0.51250766549303961</c:v>
                </c:pt>
                <c:pt idx="5">
                  <c:v>0</c:v>
                </c:pt>
                <c:pt idx="6">
                  <c:v>0.51904716120021988</c:v>
                </c:pt>
                <c:pt idx="7">
                  <c:v>1.0447556543541339</c:v>
                </c:pt>
                <c:pt idx="8">
                  <c:v>1.5772503246549263</c:v>
                </c:pt>
                <c:pt idx="9">
                  <c:v>2.1166591191522031</c:v>
                </c:pt>
                <c:pt idx="10">
                  <c:v>2.663113183113694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Sculls!$AI$92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Sculls!$AG$93:$AG$103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Sculls!$AI$93:$AI$103</c:f>
              <c:numCache>
                <c:formatCode>0.0</c:formatCode>
                <c:ptCount val="11"/>
                <c:pt idx="0">
                  <c:v>-0.62548382138402303</c:v>
                </c:pt>
                <c:pt idx="1">
                  <c:v>-0.50253676531649205</c:v>
                </c:pt>
                <c:pt idx="2">
                  <c:v>-0.37853034466978386</c:v>
                </c:pt>
                <c:pt idx="3">
                  <c:v>-0.25344922731019892</c:v>
                </c:pt>
                <c:pt idx="4">
                  <c:v>-0.12727776797817114</c:v>
                </c:pt>
                <c:pt idx="5">
                  <c:v>0</c:v>
                </c:pt>
                <c:pt idx="6">
                  <c:v>0.12840037327065801</c:v>
                </c:pt>
                <c:pt idx="7">
                  <c:v>0.25793998729208312</c:v>
                </c:pt>
                <c:pt idx="8">
                  <c:v>0.38863582546572673</c:v>
                </c:pt>
                <c:pt idx="9">
                  <c:v>0.52050522857063442</c:v>
                </c:pt>
                <c:pt idx="10">
                  <c:v>0.65356590451317231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Sculls!$AJ$92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Sculls!$AG$93:$AG$103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Sculls!$AJ$93:$AJ$103</c:f>
              <c:numCache>
                <c:formatCode>0.0</c:formatCode>
                <c:ptCount val="11"/>
                <c:pt idx="0">
                  <c:v>-3.1249635334287973</c:v>
                </c:pt>
                <c:pt idx="1">
                  <c:v>-2.5145055408520136</c:v>
                </c:pt>
                <c:pt idx="2">
                  <c:v>-1.896907688712929</c:v>
                </c:pt>
                <c:pt idx="3">
                  <c:v>-1.2720439794898368</c:v>
                </c:pt>
                <c:pt idx="4">
                  <c:v>-0.63978543347121786</c:v>
                </c:pt>
                <c:pt idx="5">
                  <c:v>0</c:v>
                </c:pt>
                <c:pt idx="6">
                  <c:v>0.64744753447087078</c:v>
                </c:pt>
                <c:pt idx="7">
                  <c:v>1.3026956416462099</c:v>
                </c:pt>
                <c:pt idx="8">
                  <c:v>1.965886150120653</c:v>
                </c:pt>
                <c:pt idx="9">
                  <c:v>2.6371643477228304</c:v>
                </c:pt>
                <c:pt idx="10">
                  <c:v>3.3166790876268664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Sculls!$AK$92</c:f>
              <c:strCache>
                <c:ptCount val="1"/>
                <c:pt idx="0">
                  <c:v>distance to move stretcher to stern (cm)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Sculls!$AG$93:$AG$103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Sculls!$AK$93:$AK$103</c:f>
              <c:numCache>
                <c:formatCode>0.0</c:formatCode>
                <c:ptCount val="11"/>
                <c:pt idx="0">
                  <c:v>-0.99605521342394354</c:v>
                </c:pt>
                <c:pt idx="1">
                  <c:v>-0.79810307464880026</c:v>
                </c:pt>
                <c:pt idx="2">
                  <c:v>-0.59952745993900436</c:v>
                </c:pt>
                <c:pt idx="3">
                  <c:v>-0.4003224407646897</c:v>
                </c:pt>
                <c:pt idx="4">
                  <c:v>-0.20048199404033085</c:v>
                </c:pt>
                <c:pt idx="5">
                  <c:v>0</c:v>
                </c:pt>
                <c:pt idx="6">
                  <c:v>0.20112975998936378</c:v>
                </c:pt>
                <c:pt idx="7">
                  <c:v>0.40291360567874079</c:v>
                </c:pt>
                <c:pt idx="8">
                  <c:v>0.60535796025389033</c:v>
                </c:pt>
                <c:pt idx="9">
                  <c:v>0.80846935272113996</c:v>
                </c:pt>
                <c:pt idx="10">
                  <c:v>1.012254420364215</c:v>
                </c:pt>
              </c:numCache>
            </c:numRef>
          </c:yVal>
          <c:smooth val="1"/>
        </c:ser>
        <c:axId val="141176832"/>
        <c:axId val="141178752"/>
      </c:scatterChart>
      <c:valAx>
        <c:axId val="141176832"/>
        <c:scaling>
          <c:orientation val="maxMin"/>
          <c:max val="165"/>
          <c:min val="155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050" b="1" i="0" baseline="0"/>
                  <a:t>&lt;-increasing--Span/Inboard --reducing-&gt;</a:t>
                </a:r>
                <a:endParaRPr lang="en-GB" sz="1050" b="1" i="0" baseline="0"/>
              </a:p>
            </c:rich>
          </c:tx>
          <c:layout/>
        </c:title>
        <c:numFmt formatCode="0.0" sourceLinked="1"/>
        <c:tickLblPos val="low"/>
        <c:crossAx val="141178752"/>
        <c:crosses val="autoZero"/>
        <c:crossBetween val="midCat"/>
      </c:valAx>
      <c:valAx>
        <c:axId val="141178752"/>
        <c:scaling>
          <c:orientation val="minMax"/>
        </c:scaling>
        <c:axPos val="r"/>
        <c:majorGridlines/>
        <c:numFmt formatCode="0.0" sourceLinked="1"/>
        <c:tickLblPos val="nextTo"/>
        <c:crossAx val="141176832"/>
        <c:crosses val="autoZero"/>
        <c:crossBetween val="midCat"/>
      </c:valAx>
    </c:plotArea>
    <c:legend>
      <c:legendPos val="r"/>
      <c:layout/>
    </c:legend>
    <c:plotVisOnly val="1"/>
  </c:chart>
  <c:spPr>
    <a:ln w="25400">
      <a:solidFill>
        <a:srgbClr val="0070C0"/>
      </a:solidFill>
    </a:ln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Sculls!$AH$62</c:f>
              <c:strCache>
                <c:ptCount val="1"/>
                <c:pt idx="0">
                  <c:v>Change in catch angle (deg)</c:v>
                </c:pt>
              </c:strCache>
            </c:strRef>
          </c:tx>
          <c:spPr>
            <a:ln w="101600"/>
          </c:spPr>
          <c:marker>
            <c:symbol val="none"/>
          </c:marker>
          <c:xVal>
            <c:numRef>
              <c:f>Sculls!$AG$63:$AG$73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Sculls!$AH$63:$AH$73</c:f>
              <c:numCache>
                <c:formatCode>0.0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Sculls!$AI$62</c:f>
              <c:strCache>
                <c:ptCount val="1"/>
                <c:pt idx="0">
                  <c:v>Change in finish angle (deg)</c:v>
                </c:pt>
              </c:strCache>
            </c:strRef>
          </c:tx>
          <c:spPr>
            <a:ln w="63500"/>
          </c:spPr>
          <c:marker>
            <c:symbol val="none"/>
          </c:marker>
          <c:xVal>
            <c:numRef>
              <c:f>Sculls!$AG$63:$AG$73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Sculls!$AI$63:$AI$73</c:f>
              <c:numCache>
                <c:formatCode>0.0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Sculls!$AJ$62</c:f>
              <c:strCache>
                <c:ptCount val="1"/>
                <c:pt idx="0">
                  <c:v>Change in sweep angle (deg)</c:v>
                </c:pt>
              </c:strCache>
            </c:strRef>
          </c:tx>
          <c:spPr>
            <a:ln w="25400"/>
          </c:spPr>
          <c:marker>
            <c:symbol val="none"/>
          </c:marker>
          <c:xVal>
            <c:numRef>
              <c:f>Sculls!$AG$63:$AG$73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Sculls!$AJ$63:$AJ$73</c:f>
              <c:numCache>
                <c:formatCode>0.0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Sculls!$AK$62</c:f>
              <c:strCache>
                <c:ptCount val="1"/>
                <c:pt idx="0">
                  <c:v>change in distance between handles (cm / 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Sculls!$AG$63:$AG$73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Sculls!$AK$63:$AK$73</c:f>
              <c:numCache>
                <c:formatCode>0.0</c:formatCode>
                <c:ptCount val="11"/>
                <c:pt idx="0">
                  <c:v>4.9999999999999716</c:v>
                </c:pt>
                <c:pt idx="1">
                  <c:v>3.9999999999999716</c:v>
                </c:pt>
                <c:pt idx="2">
                  <c:v>2.9999999999999716</c:v>
                </c:pt>
                <c:pt idx="3">
                  <c:v>1.9999999999999716</c:v>
                </c:pt>
                <c:pt idx="4">
                  <c:v>0.99999999999997158</c:v>
                </c:pt>
                <c:pt idx="5">
                  <c:v>0</c:v>
                </c:pt>
                <c:pt idx="6">
                  <c:v>-1.0000000000000284</c:v>
                </c:pt>
                <c:pt idx="7">
                  <c:v>-2.0000000000000284</c:v>
                </c:pt>
                <c:pt idx="8">
                  <c:v>-3.0000000000000284</c:v>
                </c:pt>
                <c:pt idx="9">
                  <c:v>-4.0000000000000284</c:v>
                </c:pt>
                <c:pt idx="10">
                  <c:v>-5.0000000000000284</c:v>
                </c:pt>
              </c:numCache>
            </c:numRef>
          </c:yVal>
          <c:smooth val="1"/>
        </c:ser>
        <c:axId val="141213056"/>
        <c:axId val="141223424"/>
      </c:scatterChart>
      <c:valAx>
        <c:axId val="141213056"/>
        <c:scaling>
          <c:orientation val="maxMin"/>
          <c:max val="165"/>
          <c:min val="155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000" b="1" i="0" baseline="0"/>
                  <a:t>&lt;-increasing--Span --reducing-&gt;</a:t>
                </a:r>
                <a:endParaRPr lang="en-GB" sz="1000" b="1" i="0" baseline="0"/>
              </a:p>
            </c:rich>
          </c:tx>
          <c:layout/>
        </c:title>
        <c:numFmt formatCode="0.0" sourceLinked="1"/>
        <c:tickLblPos val="low"/>
        <c:crossAx val="141223424"/>
        <c:crosses val="autoZero"/>
        <c:crossBetween val="midCat"/>
      </c:valAx>
      <c:valAx>
        <c:axId val="141223424"/>
        <c:scaling>
          <c:orientation val="minMax"/>
        </c:scaling>
        <c:axPos val="r"/>
        <c:majorGridlines/>
        <c:numFmt formatCode="0.0" sourceLinked="1"/>
        <c:tickLblPos val="nextTo"/>
        <c:crossAx val="141213056"/>
        <c:crosses val="autoZero"/>
        <c:crossBetween val="midCat"/>
      </c:valAx>
    </c:plotArea>
    <c:legend>
      <c:legendPos val="r"/>
      <c:layout/>
    </c:legend>
    <c:plotVisOnly val="1"/>
  </c:chart>
  <c:spPr>
    <a:ln w="25400">
      <a:solidFill>
        <a:srgbClr val="0070C0"/>
      </a:solidFill>
    </a:ln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Sculls!$AH$77</c:f>
              <c:strCache>
                <c:ptCount val="1"/>
                <c:pt idx="0">
                  <c:v>Change in catch angle (deg)</c:v>
                </c:pt>
              </c:strCache>
            </c:strRef>
          </c:tx>
          <c:spPr>
            <a:ln w="76200"/>
          </c:spPr>
          <c:marker>
            <c:symbol val="none"/>
          </c:marker>
          <c:xVal>
            <c:numRef>
              <c:f>Sculls!$AG$78:$AG$88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Sculls!$AH$78:$AH$88</c:f>
              <c:numCache>
                <c:formatCode>0.0</c:formatCode>
                <c:ptCount val="11"/>
                <c:pt idx="0">
                  <c:v>-0.80338543642210425</c:v>
                </c:pt>
                <c:pt idx="1">
                  <c:v>-0.64085839429974101</c:v>
                </c:pt>
                <c:pt idx="2">
                  <c:v>-0.47924109374575607</c:v>
                </c:pt>
                <c:pt idx="3">
                  <c:v>-0.31854834043375035</c:v>
                </c:pt>
                <c:pt idx="4">
                  <c:v>-0.15879579181442693</c:v>
                </c:pt>
                <c:pt idx="5">
                  <c:v>0</c:v>
                </c:pt>
                <c:pt idx="6">
                  <c:v>0.15782154233943402</c:v>
                </c:pt>
                <c:pt idx="7">
                  <c:v>0.31465035282421638</c:v>
                </c:pt>
                <c:pt idx="8">
                  <c:v>0.47046690669206725</c:v>
                </c:pt>
                <c:pt idx="9">
                  <c:v>0.62525058031074821</c:v>
                </c:pt>
                <c:pt idx="10">
                  <c:v>0.7789795905549397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Sculls!$AI$77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Sculls!$AG$78:$AG$88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Sculls!$AI$78:$AI$88</c:f>
              <c:numCache>
                <c:formatCode>0.0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Sculls!$AJ$77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Sculls!$AG$78:$AG$88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Sculls!$AJ$78:$AJ$88</c:f>
              <c:numCache>
                <c:formatCode>0.0</c:formatCode>
                <c:ptCount val="11"/>
                <c:pt idx="0">
                  <c:v>-0.80338543642211846</c:v>
                </c:pt>
                <c:pt idx="1">
                  <c:v>-0.64085839429974101</c:v>
                </c:pt>
                <c:pt idx="2">
                  <c:v>-0.47924109374575607</c:v>
                </c:pt>
                <c:pt idx="3">
                  <c:v>-0.31854834043376457</c:v>
                </c:pt>
                <c:pt idx="4">
                  <c:v>-0.15879579181442693</c:v>
                </c:pt>
                <c:pt idx="5">
                  <c:v>0</c:v>
                </c:pt>
                <c:pt idx="6">
                  <c:v>0.15782154233941981</c:v>
                </c:pt>
                <c:pt idx="7">
                  <c:v>0.31465035282421638</c:v>
                </c:pt>
                <c:pt idx="8">
                  <c:v>0.47046690669206725</c:v>
                </c:pt>
                <c:pt idx="9">
                  <c:v>0.62525058031074821</c:v>
                </c:pt>
                <c:pt idx="10">
                  <c:v>0.77897959055492549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Sculls!$AK$77</c:f>
              <c:strCache>
                <c:ptCount val="1"/>
                <c:pt idx="0">
                  <c:v>change in distance between handles (cm / 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Sculls!$AG$78:$AG$88</c:f>
              <c:numCache>
                <c:formatCode>0.0</c:formatCode>
                <c:ptCount val="11"/>
                <c:pt idx="0">
                  <c:v>165</c:v>
                </c:pt>
                <c:pt idx="1">
                  <c:v>164</c:v>
                </c:pt>
                <c:pt idx="2">
                  <c:v>163</c:v>
                </c:pt>
                <c:pt idx="3">
                  <c:v>162</c:v>
                </c:pt>
                <c:pt idx="4">
                  <c:v>161</c:v>
                </c:pt>
                <c:pt idx="5">
                  <c:v>160</c:v>
                </c:pt>
                <c:pt idx="6">
                  <c:v>159</c:v>
                </c:pt>
                <c:pt idx="7">
                  <c:v>158</c:v>
                </c:pt>
                <c:pt idx="8">
                  <c:v>157</c:v>
                </c:pt>
                <c:pt idx="9">
                  <c:v>156</c:v>
                </c:pt>
                <c:pt idx="10">
                  <c:v>155</c:v>
                </c:pt>
              </c:numCache>
            </c:numRef>
          </c:xVal>
          <c:yVal>
            <c:numRef>
              <c:f>Sculls!$AK$78:$AK$88</c:f>
              <c:numCache>
                <c:formatCode>0.0</c:formatCode>
                <c:ptCount val="11"/>
                <c:pt idx="0">
                  <c:v>4.9999999999999716</c:v>
                </c:pt>
                <c:pt idx="1">
                  <c:v>3.9999999999999716</c:v>
                </c:pt>
                <c:pt idx="2">
                  <c:v>2.9999999999999716</c:v>
                </c:pt>
                <c:pt idx="3">
                  <c:v>1.9999999999999716</c:v>
                </c:pt>
                <c:pt idx="4">
                  <c:v>0.99999999999997158</c:v>
                </c:pt>
                <c:pt idx="5">
                  <c:v>0</c:v>
                </c:pt>
                <c:pt idx="6">
                  <c:v>-1.0000000000000284</c:v>
                </c:pt>
                <c:pt idx="7">
                  <c:v>-2.0000000000000284</c:v>
                </c:pt>
                <c:pt idx="8">
                  <c:v>-3.0000000000000284</c:v>
                </c:pt>
                <c:pt idx="9">
                  <c:v>-4.0000000000000284</c:v>
                </c:pt>
                <c:pt idx="10">
                  <c:v>-5.0000000000000284</c:v>
                </c:pt>
              </c:numCache>
            </c:numRef>
          </c:yVal>
          <c:smooth val="1"/>
        </c:ser>
        <c:axId val="141258112"/>
        <c:axId val="141259904"/>
      </c:scatterChart>
      <c:valAx>
        <c:axId val="141258112"/>
        <c:scaling>
          <c:orientation val="maxMin"/>
          <c:max val="165"/>
          <c:min val="155"/>
        </c:scaling>
        <c:axPos val="b"/>
        <c:majorGridlines/>
        <c:numFmt formatCode="0.0" sourceLinked="1"/>
        <c:tickLblPos val="low"/>
        <c:crossAx val="141259904"/>
        <c:crosses val="autoZero"/>
        <c:crossBetween val="midCat"/>
      </c:valAx>
      <c:valAx>
        <c:axId val="141259904"/>
        <c:scaling>
          <c:orientation val="minMax"/>
        </c:scaling>
        <c:axPos val="r"/>
        <c:majorGridlines/>
        <c:numFmt formatCode="0.0" sourceLinked="1"/>
        <c:tickLblPos val="nextTo"/>
        <c:crossAx val="141258112"/>
        <c:crosses val="autoZero"/>
        <c:crossBetween val="midCat"/>
      </c:valAx>
    </c:plotArea>
    <c:legend>
      <c:legendPos val="r"/>
      <c:layout/>
    </c:legend>
    <c:plotVisOnly val="1"/>
  </c:chart>
  <c:spPr>
    <a:ln w="25400">
      <a:solidFill>
        <a:srgbClr val="0070C0"/>
      </a:solidFill>
    </a:ln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Sculls!$AH$212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Sculls!$AG$213:$AG$223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Sculls!$AH$213:$AH$223</c:f>
              <c:numCache>
                <c:formatCode>0.0</c:formatCode>
                <c:ptCount val="11"/>
                <c:pt idx="0">
                  <c:v>4.2597145830607985</c:v>
                </c:pt>
                <c:pt idx="1">
                  <c:v>3.4296666770335378</c:v>
                </c:pt>
                <c:pt idx="2">
                  <c:v>2.5892804153911015</c:v>
                </c:pt>
                <c:pt idx="3">
                  <c:v>1.7379716756843635</c:v>
                </c:pt>
                <c:pt idx="4">
                  <c:v>0.87510749203696037</c:v>
                </c:pt>
                <c:pt idx="5">
                  <c:v>0</c:v>
                </c:pt>
                <c:pt idx="6">
                  <c:v>-0.88810061191279033</c:v>
                </c:pt>
                <c:pt idx="7">
                  <c:v>-1.790014350756536</c:v>
                </c:pt>
                <c:pt idx="8">
                  <c:v>-2.706641127327913</c:v>
                </c:pt>
                <c:pt idx="9">
                  <c:v>-3.6389722525910457</c:v>
                </c:pt>
                <c:pt idx="10">
                  <c:v>-4.5881041420951405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Sculls!$AI$212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Sculls!$AG$213:$AG$223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Sculls!$AI$213:$AI$223</c:f>
              <c:numCache>
                <c:formatCode>0.0</c:formatCode>
                <c:ptCount val="11"/>
                <c:pt idx="0">
                  <c:v>-4.2597145830607985</c:v>
                </c:pt>
                <c:pt idx="1">
                  <c:v>-3.429666677033552</c:v>
                </c:pt>
                <c:pt idx="2">
                  <c:v>-2.5892804153911086</c:v>
                </c:pt>
                <c:pt idx="3">
                  <c:v>-1.7379716756843706</c:v>
                </c:pt>
                <c:pt idx="4">
                  <c:v>-0.87510749203697458</c:v>
                </c:pt>
                <c:pt idx="5">
                  <c:v>0</c:v>
                </c:pt>
                <c:pt idx="6">
                  <c:v>0.88810061191278322</c:v>
                </c:pt>
                <c:pt idx="7">
                  <c:v>1.7900143507565289</c:v>
                </c:pt>
                <c:pt idx="8">
                  <c:v>2.7066411273279058</c:v>
                </c:pt>
                <c:pt idx="9">
                  <c:v>3.6389722525910386</c:v>
                </c:pt>
                <c:pt idx="10">
                  <c:v>4.5881041420951334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Sculls!$AJ$212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Sculls!$AG$213:$AG$223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Sculls!$AJ$213:$AJ$223</c:f>
              <c:numCache>
                <c:formatCode>0.0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Sculls!$AK$212</c:f>
              <c:strCache>
                <c:ptCount val="1"/>
                <c:pt idx="0">
                  <c:v>change in distance between handles (cm / 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Sculls!$AG$213:$AG$223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Sculls!$AK$213:$AK$223</c:f>
              <c:numCache>
                <c:formatCode>0.0</c:formatCode>
                <c:ptCount val="11"/>
                <c:pt idx="0">
                  <c:v>-8.8883721540350962</c:v>
                </c:pt>
                <c:pt idx="1">
                  <c:v>-7.2151009753598601</c:v>
                </c:pt>
                <c:pt idx="2">
                  <c:v>-5.4916527014068492</c:v>
                </c:pt>
                <c:pt idx="3">
                  <c:v>-3.7160871691925763</c:v>
                </c:pt>
                <c:pt idx="4">
                  <c:v>-1.8862994549455152</c:v>
                </c:pt>
                <c:pt idx="5">
                  <c:v>0</c:v>
                </c:pt>
                <c:pt idx="6">
                  <c:v>1.9453084964066818</c:v>
                </c:pt>
                <c:pt idx="7">
                  <c:v>3.952358085678938</c:v>
                </c:pt>
                <c:pt idx="8">
                  <c:v>6.0241473179500389</c:v>
                </c:pt>
                <c:pt idx="9">
                  <c:v>8.1639787898430711</c:v>
                </c:pt>
                <c:pt idx="10">
                  <c:v>10.375503844729764</c:v>
                </c:pt>
              </c:numCache>
            </c:numRef>
          </c:yVal>
          <c:smooth val="1"/>
        </c:ser>
        <c:axId val="141294208"/>
        <c:axId val="141566720"/>
      </c:scatterChart>
      <c:valAx>
        <c:axId val="141294208"/>
        <c:scaling>
          <c:orientation val="minMax"/>
          <c:max val="5"/>
          <c:min val="-5"/>
        </c:scaling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Stretcher movement to stern</a:t>
                </a:r>
              </a:p>
            </c:rich>
          </c:tx>
          <c:layout>
            <c:manualLayout>
              <c:xMode val="edge"/>
              <c:yMode val="edge"/>
              <c:x val="0.11978090786460457"/>
              <c:y val="0.92039361919138363"/>
            </c:manualLayout>
          </c:layout>
        </c:title>
        <c:numFmt formatCode="0.0" sourceLinked="1"/>
        <c:tickLblPos val="nextTo"/>
        <c:crossAx val="141566720"/>
        <c:crosses val="autoZero"/>
        <c:crossBetween val="midCat"/>
      </c:valAx>
      <c:valAx>
        <c:axId val="141566720"/>
        <c:scaling>
          <c:orientation val="minMax"/>
        </c:scaling>
        <c:axPos val="l"/>
        <c:majorGridlines/>
        <c:numFmt formatCode="0.0" sourceLinked="1"/>
        <c:tickLblPos val="nextTo"/>
        <c:crossAx val="141294208"/>
        <c:crosses val="autoZero"/>
        <c:crossBetween val="midCat"/>
      </c:valAx>
    </c:plotArea>
    <c:legend>
      <c:legendPos val="r"/>
      <c:layout/>
    </c:legend>
    <c:plotVisOnly val="1"/>
  </c:chart>
  <c:spPr>
    <a:ln w="25400">
      <a:solidFill>
        <a:srgbClr val="0070C0"/>
      </a:solidFill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Sculls!$AH$227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Sculls!$AG$228:$AG$238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Sculls!$AH$228:$AH$238</c:f>
              <c:numCache>
                <c:formatCode>0.0</c:formatCode>
                <c:ptCount val="11"/>
                <c:pt idx="0">
                  <c:v>3.9352007656604115</c:v>
                </c:pt>
                <c:pt idx="1">
                  <c:v>3.1779770171104502</c:v>
                </c:pt>
                <c:pt idx="2">
                  <c:v>2.405642312067954</c:v>
                </c:pt>
                <c:pt idx="3">
                  <c:v>1.6183854741828867</c:v>
                </c:pt>
                <c:pt idx="4">
                  <c:v>0.81642300389879097</c:v>
                </c:pt>
                <c:pt idx="5">
                  <c:v>0</c:v>
                </c:pt>
                <c:pt idx="6">
                  <c:v>-0.83060901972227441</c:v>
                </c:pt>
                <c:pt idx="7">
                  <c:v>-1.6750994152120455</c:v>
                </c:pt>
                <c:pt idx="8">
                  <c:v>-2.5331358552165142</c:v>
                </c:pt>
                <c:pt idx="9">
                  <c:v>-3.4043518997471125</c:v>
                </c:pt>
                <c:pt idx="10">
                  <c:v>-4.2883497508762076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Sculls!$AI$227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Sculls!$AG$228:$AG$238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Sculls!$AI$228:$AI$238</c:f>
              <c:numCache>
                <c:formatCode>0.0</c:formatCode>
                <c:ptCount val="11"/>
                <c:pt idx="0">
                  <c:v>-4.2597145830608056</c:v>
                </c:pt>
                <c:pt idx="1">
                  <c:v>-3.4296666770335591</c:v>
                </c:pt>
                <c:pt idx="2">
                  <c:v>-2.5892804153911015</c:v>
                </c:pt>
                <c:pt idx="3">
                  <c:v>-1.7379716756843848</c:v>
                </c:pt>
                <c:pt idx="4">
                  <c:v>-0.87510749203698168</c:v>
                </c:pt>
                <c:pt idx="5">
                  <c:v>0</c:v>
                </c:pt>
                <c:pt idx="6">
                  <c:v>0.88810061191277612</c:v>
                </c:pt>
                <c:pt idx="7">
                  <c:v>1.7900143507565289</c:v>
                </c:pt>
                <c:pt idx="8">
                  <c:v>2.7066411273278987</c:v>
                </c:pt>
                <c:pt idx="9">
                  <c:v>3.6389722525910315</c:v>
                </c:pt>
                <c:pt idx="10">
                  <c:v>4.5881041420951263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Sculls!$AJ$227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Sculls!$AG$228:$AG$238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Sculls!$AJ$228:$AJ$238</c:f>
              <c:numCache>
                <c:formatCode>0.0</c:formatCode>
                <c:ptCount val="11"/>
                <c:pt idx="0">
                  <c:v>-0.32451381740037277</c:v>
                </c:pt>
                <c:pt idx="1">
                  <c:v>-0.25168965992308756</c:v>
                </c:pt>
                <c:pt idx="2">
                  <c:v>-0.18363810332313335</c:v>
                </c:pt>
                <c:pt idx="3">
                  <c:v>-0.11958620150147681</c:v>
                </c:pt>
                <c:pt idx="4">
                  <c:v>-5.8684488138169399E-2</c:v>
                </c:pt>
                <c:pt idx="5">
                  <c:v>0</c:v>
                </c:pt>
                <c:pt idx="6">
                  <c:v>5.7491592190515917E-2</c:v>
                </c:pt>
                <c:pt idx="7">
                  <c:v>0.11491493554450471</c:v>
                </c:pt>
                <c:pt idx="8">
                  <c:v>0.17350527211139877</c:v>
                </c:pt>
                <c:pt idx="9">
                  <c:v>0.23462035284394744</c:v>
                </c:pt>
                <c:pt idx="10">
                  <c:v>0.29975439121893999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Sculls!$AK$227</c:f>
              <c:strCache>
                <c:ptCount val="1"/>
                <c:pt idx="0">
                  <c:v>change in distance between handles (cm / 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Sculls!$AG$228:$AG$238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Sculls!$AK$228:$AK$238</c:f>
              <c:numCache>
                <c:formatCode>0.0</c:formatCode>
                <c:ptCount val="11"/>
                <c:pt idx="0">
                  <c:v>-8.8883721540350962</c:v>
                </c:pt>
                <c:pt idx="1">
                  <c:v>-7.2151009753598601</c:v>
                </c:pt>
                <c:pt idx="2">
                  <c:v>-5.4916527014068492</c:v>
                </c:pt>
                <c:pt idx="3">
                  <c:v>-3.7160871691925763</c:v>
                </c:pt>
                <c:pt idx="4">
                  <c:v>-1.8862994549455152</c:v>
                </c:pt>
                <c:pt idx="5">
                  <c:v>0</c:v>
                </c:pt>
                <c:pt idx="6">
                  <c:v>1.9453084964066818</c:v>
                </c:pt>
                <c:pt idx="7">
                  <c:v>3.952358085678938</c:v>
                </c:pt>
                <c:pt idx="8">
                  <c:v>6.0241473179500389</c:v>
                </c:pt>
                <c:pt idx="9">
                  <c:v>8.1639787898430711</c:v>
                </c:pt>
                <c:pt idx="10">
                  <c:v>10.375503844729764</c:v>
                </c:pt>
              </c:numCache>
            </c:numRef>
          </c:yVal>
          <c:smooth val="1"/>
        </c:ser>
        <c:axId val="141596928"/>
        <c:axId val="141611392"/>
      </c:scatterChart>
      <c:valAx>
        <c:axId val="141596928"/>
        <c:scaling>
          <c:orientation val="minMax"/>
          <c:max val="5"/>
          <c:min val="-5"/>
        </c:scaling>
        <c:axPos val="b"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Stretcher movement to stern</a:t>
                </a:r>
              </a:p>
            </c:rich>
          </c:tx>
          <c:layout/>
        </c:title>
        <c:numFmt formatCode="0.0" sourceLinked="1"/>
        <c:tickLblPos val="nextTo"/>
        <c:crossAx val="141611392"/>
        <c:crosses val="autoZero"/>
        <c:crossBetween val="midCat"/>
      </c:valAx>
      <c:valAx>
        <c:axId val="141611392"/>
        <c:scaling>
          <c:orientation val="minMax"/>
        </c:scaling>
        <c:axPos val="l"/>
        <c:majorGridlines/>
        <c:numFmt formatCode="0.0" sourceLinked="1"/>
        <c:tickLblPos val="nextTo"/>
        <c:crossAx val="141596928"/>
        <c:crosses val="autoZero"/>
        <c:crossBetween val="midCat"/>
      </c:valAx>
    </c:plotArea>
    <c:legend>
      <c:legendPos val="r"/>
      <c:layout/>
    </c:legend>
    <c:plotVisOnly val="1"/>
  </c:chart>
  <c:spPr>
    <a:ln w="25400">
      <a:solidFill>
        <a:srgbClr val="0070C0"/>
      </a:solidFill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Sculls!$AH$227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Sculls!$AG$228:$AG$238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Sculls!$AH$228:$AH$238</c:f>
              <c:numCache>
                <c:formatCode>0.0</c:formatCode>
                <c:ptCount val="11"/>
                <c:pt idx="0">
                  <c:v>3.9352007656604115</c:v>
                </c:pt>
                <c:pt idx="1">
                  <c:v>3.1779770171104502</c:v>
                </c:pt>
                <c:pt idx="2">
                  <c:v>2.405642312067954</c:v>
                </c:pt>
                <c:pt idx="3">
                  <c:v>1.6183854741828867</c:v>
                </c:pt>
                <c:pt idx="4">
                  <c:v>0.81642300389879097</c:v>
                </c:pt>
                <c:pt idx="5">
                  <c:v>0</c:v>
                </c:pt>
                <c:pt idx="6">
                  <c:v>-0.83060901972227441</c:v>
                </c:pt>
                <c:pt idx="7">
                  <c:v>-1.6750994152120455</c:v>
                </c:pt>
                <c:pt idx="8">
                  <c:v>-2.5331358552165142</c:v>
                </c:pt>
                <c:pt idx="9">
                  <c:v>-3.4043518997471125</c:v>
                </c:pt>
                <c:pt idx="10">
                  <c:v>-4.2883497508762076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Sculls!$AI$227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Sculls!$AG$228:$AG$238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Sculls!$AI$228:$AI$238</c:f>
              <c:numCache>
                <c:formatCode>0.0</c:formatCode>
                <c:ptCount val="11"/>
                <c:pt idx="0">
                  <c:v>-4.2597145830608056</c:v>
                </c:pt>
                <c:pt idx="1">
                  <c:v>-3.4296666770335591</c:v>
                </c:pt>
                <c:pt idx="2">
                  <c:v>-2.5892804153911015</c:v>
                </c:pt>
                <c:pt idx="3">
                  <c:v>-1.7379716756843848</c:v>
                </c:pt>
                <c:pt idx="4">
                  <c:v>-0.87510749203698168</c:v>
                </c:pt>
                <c:pt idx="5">
                  <c:v>0</c:v>
                </c:pt>
                <c:pt idx="6">
                  <c:v>0.88810061191277612</c:v>
                </c:pt>
                <c:pt idx="7">
                  <c:v>1.7900143507565289</c:v>
                </c:pt>
                <c:pt idx="8">
                  <c:v>2.7066411273278987</c:v>
                </c:pt>
                <c:pt idx="9">
                  <c:v>3.6389722525910315</c:v>
                </c:pt>
                <c:pt idx="10">
                  <c:v>4.5881041420951263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Sculls!$AJ$227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Sculls!$AG$228:$AG$238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Sculls!$AJ$228:$AJ$238</c:f>
              <c:numCache>
                <c:formatCode>0.0</c:formatCode>
                <c:ptCount val="11"/>
                <c:pt idx="0">
                  <c:v>-0.32451381740037277</c:v>
                </c:pt>
                <c:pt idx="1">
                  <c:v>-0.25168965992308756</c:v>
                </c:pt>
                <c:pt idx="2">
                  <c:v>-0.18363810332313335</c:v>
                </c:pt>
                <c:pt idx="3">
                  <c:v>-0.11958620150147681</c:v>
                </c:pt>
                <c:pt idx="4">
                  <c:v>-5.8684488138169399E-2</c:v>
                </c:pt>
                <c:pt idx="5">
                  <c:v>0</c:v>
                </c:pt>
                <c:pt idx="6">
                  <c:v>5.7491592190515917E-2</c:v>
                </c:pt>
                <c:pt idx="7">
                  <c:v>0.11491493554450471</c:v>
                </c:pt>
                <c:pt idx="8">
                  <c:v>0.17350527211139877</c:v>
                </c:pt>
                <c:pt idx="9">
                  <c:v>0.23462035284394744</c:v>
                </c:pt>
                <c:pt idx="10">
                  <c:v>0.29975439121893999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Sculls!$AK$227</c:f>
              <c:strCache>
                <c:ptCount val="1"/>
                <c:pt idx="0">
                  <c:v>change in distance between handles (cm / 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Sculls!$AG$228:$AG$238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Sculls!$AK$228:$AK$238</c:f>
              <c:numCache>
                <c:formatCode>0.0</c:formatCode>
                <c:ptCount val="11"/>
                <c:pt idx="0">
                  <c:v>-8.8883721540350962</c:v>
                </c:pt>
                <c:pt idx="1">
                  <c:v>-7.2151009753598601</c:v>
                </c:pt>
                <c:pt idx="2">
                  <c:v>-5.4916527014068492</c:v>
                </c:pt>
                <c:pt idx="3">
                  <c:v>-3.7160871691925763</c:v>
                </c:pt>
                <c:pt idx="4">
                  <c:v>-1.8862994549455152</c:v>
                </c:pt>
                <c:pt idx="5">
                  <c:v>0</c:v>
                </c:pt>
                <c:pt idx="6">
                  <c:v>1.9453084964066818</c:v>
                </c:pt>
                <c:pt idx="7">
                  <c:v>3.952358085678938</c:v>
                </c:pt>
                <c:pt idx="8">
                  <c:v>6.0241473179500389</c:v>
                </c:pt>
                <c:pt idx="9">
                  <c:v>8.1639787898430711</c:v>
                </c:pt>
                <c:pt idx="10">
                  <c:v>10.375503844729764</c:v>
                </c:pt>
              </c:numCache>
            </c:numRef>
          </c:yVal>
          <c:smooth val="1"/>
        </c:ser>
        <c:axId val="141715328"/>
        <c:axId val="141733888"/>
      </c:scatterChart>
      <c:valAx>
        <c:axId val="141715328"/>
        <c:scaling>
          <c:orientation val="minMax"/>
          <c:max val="20"/>
          <c:min val="-20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Stretcher movement to stern (cm)</a:t>
                </a:r>
              </a:p>
            </c:rich>
          </c:tx>
          <c:layout/>
        </c:title>
        <c:numFmt formatCode="0.0" sourceLinked="1"/>
        <c:tickLblPos val="low"/>
        <c:crossAx val="141733888"/>
        <c:crosses val="autoZero"/>
        <c:crossBetween val="midCat"/>
      </c:valAx>
      <c:valAx>
        <c:axId val="141733888"/>
        <c:scaling>
          <c:orientation val="minMax"/>
        </c:scaling>
        <c:axPos val="l"/>
        <c:majorGridlines/>
        <c:numFmt formatCode="0.0" sourceLinked="1"/>
        <c:tickLblPos val="nextTo"/>
        <c:crossAx val="141715328"/>
        <c:crosses val="autoZero"/>
        <c:crossBetween val="midCat"/>
      </c:valAx>
    </c:plotArea>
    <c:legend>
      <c:legendPos val="r"/>
      <c:layout/>
    </c:legend>
    <c:plotVisOnly val="1"/>
  </c:chart>
  <c:spPr>
    <a:ln w="25400">
      <a:solidFill>
        <a:srgbClr val="0070C0"/>
      </a:solidFill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Sculls!$AH$242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Sculls!$AG$243:$AG$253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Sculls!$AH$243:$AH$253</c:f>
              <c:numCache>
                <c:formatCode>0.0</c:formatCode>
                <c:ptCount val="11"/>
                <c:pt idx="0">
                  <c:v>4.2597145830607985</c:v>
                </c:pt>
                <c:pt idx="1">
                  <c:v>3.4296666770335378</c:v>
                </c:pt>
                <c:pt idx="2">
                  <c:v>2.5892804153911015</c:v>
                </c:pt>
                <c:pt idx="3">
                  <c:v>1.7379716756843635</c:v>
                </c:pt>
                <c:pt idx="4">
                  <c:v>0.87510749203696037</c:v>
                </c:pt>
                <c:pt idx="5">
                  <c:v>0</c:v>
                </c:pt>
                <c:pt idx="6">
                  <c:v>-0.88810061191279033</c:v>
                </c:pt>
                <c:pt idx="7">
                  <c:v>-1.790014350756536</c:v>
                </c:pt>
                <c:pt idx="8">
                  <c:v>-2.706641127327913</c:v>
                </c:pt>
                <c:pt idx="9">
                  <c:v>-3.6389722525910457</c:v>
                </c:pt>
                <c:pt idx="10">
                  <c:v>-4.5881041420951405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Sculls!$AI$242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Sculls!$AG$243:$AG$253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Sculls!$AI$243:$AI$253</c:f>
              <c:numCache>
                <c:formatCode>0.0</c:formatCode>
                <c:ptCount val="11"/>
                <c:pt idx="0">
                  <c:v>-4.2597145830607985</c:v>
                </c:pt>
                <c:pt idx="1">
                  <c:v>-3.429666677033552</c:v>
                </c:pt>
                <c:pt idx="2">
                  <c:v>-2.5892804153911086</c:v>
                </c:pt>
                <c:pt idx="3">
                  <c:v>-1.7379716756843706</c:v>
                </c:pt>
                <c:pt idx="4">
                  <c:v>-0.87510749203697458</c:v>
                </c:pt>
                <c:pt idx="5">
                  <c:v>0</c:v>
                </c:pt>
                <c:pt idx="6">
                  <c:v>0.88810061191278322</c:v>
                </c:pt>
                <c:pt idx="7">
                  <c:v>1.7900143507565289</c:v>
                </c:pt>
                <c:pt idx="8">
                  <c:v>2.7066411273279058</c:v>
                </c:pt>
                <c:pt idx="9">
                  <c:v>3.6389722525910386</c:v>
                </c:pt>
                <c:pt idx="10">
                  <c:v>4.5881041420951334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Sculls!$AJ$242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Sculls!$AG$243:$AG$253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Sculls!$AJ$243:$AJ$253</c:f>
              <c:numCache>
                <c:formatCode>0.0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Sculls!$AK$242</c:f>
              <c:strCache>
                <c:ptCount val="1"/>
                <c:pt idx="0">
                  <c:v>Change in span (cm)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Sculls!$AG$243:$AG$253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Sculls!$AK$243:$AK$253</c:f>
              <c:numCache>
                <c:formatCode>0.0</c:formatCode>
                <c:ptCount val="11"/>
                <c:pt idx="0">
                  <c:v>8.8883721540350962</c:v>
                </c:pt>
                <c:pt idx="1">
                  <c:v>7.2151009753598601</c:v>
                </c:pt>
                <c:pt idx="2">
                  <c:v>5.4916527014068492</c:v>
                </c:pt>
                <c:pt idx="3">
                  <c:v>3.7160871691925763</c:v>
                </c:pt>
                <c:pt idx="4">
                  <c:v>1.8862994549455152</c:v>
                </c:pt>
                <c:pt idx="5">
                  <c:v>0</c:v>
                </c:pt>
                <c:pt idx="6">
                  <c:v>-1.9453084964066818</c:v>
                </c:pt>
                <c:pt idx="7">
                  <c:v>-3.9523580856789522</c:v>
                </c:pt>
                <c:pt idx="8">
                  <c:v>-6.0241473179500247</c:v>
                </c:pt>
                <c:pt idx="9">
                  <c:v>-8.1639787898430427</c:v>
                </c:pt>
                <c:pt idx="10">
                  <c:v>-10.375503844729792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Sculls!$AL$242</c:f>
              <c:strCache>
                <c:ptCount val="1"/>
                <c:pt idx="0">
                  <c:v>change in overlap (cm)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Sculls!$AG$243:$AG$253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Sculls!$AL$243:$AL$253</c:f>
              <c:numCache>
                <c:formatCode>0.0</c:formatCode>
                <c:ptCount val="11"/>
                <c:pt idx="0">
                  <c:v>-8.8883721540350962</c:v>
                </c:pt>
                <c:pt idx="1">
                  <c:v>-7.2151009753598601</c:v>
                </c:pt>
                <c:pt idx="2">
                  <c:v>-5.4916527014068492</c:v>
                </c:pt>
                <c:pt idx="3">
                  <c:v>-3.7160871691925763</c:v>
                </c:pt>
                <c:pt idx="4">
                  <c:v>-1.8862994549455152</c:v>
                </c:pt>
                <c:pt idx="5">
                  <c:v>0</c:v>
                </c:pt>
                <c:pt idx="6">
                  <c:v>1.9453084964066818</c:v>
                </c:pt>
                <c:pt idx="7">
                  <c:v>3.9523580856789522</c:v>
                </c:pt>
                <c:pt idx="8">
                  <c:v>6.0241473179500247</c:v>
                </c:pt>
                <c:pt idx="9">
                  <c:v>8.1639787898430427</c:v>
                </c:pt>
                <c:pt idx="10">
                  <c:v>10.375503844729792</c:v>
                </c:pt>
              </c:numCache>
            </c:numRef>
          </c:yVal>
          <c:smooth val="1"/>
        </c:ser>
        <c:axId val="141760768"/>
        <c:axId val="141767040"/>
      </c:scatterChart>
      <c:valAx>
        <c:axId val="141760768"/>
        <c:scaling>
          <c:orientation val="minMax"/>
          <c:max val="5"/>
          <c:min val="-5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moving stretcher to stern (cm)</a:t>
                </a:r>
              </a:p>
            </c:rich>
          </c:tx>
          <c:layout/>
        </c:title>
        <c:numFmt formatCode="0.0" sourceLinked="1"/>
        <c:tickLblPos val="low"/>
        <c:crossAx val="141767040"/>
        <c:crosses val="autoZero"/>
        <c:crossBetween val="midCat"/>
        <c:majorUnit val="1"/>
      </c:valAx>
      <c:valAx>
        <c:axId val="141767040"/>
        <c:scaling>
          <c:orientation val="minMax"/>
        </c:scaling>
        <c:axPos val="l"/>
        <c:majorGridlines/>
        <c:numFmt formatCode="0.0" sourceLinked="1"/>
        <c:tickLblPos val="nextTo"/>
        <c:crossAx val="141760768"/>
        <c:crosses val="autoZero"/>
        <c:crossBetween val="midCat"/>
      </c:valAx>
    </c:plotArea>
    <c:legend>
      <c:legendPos val="r"/>
      <c:layout/>
    </c:legend>
    <c:plotVisOnly val="1"/>
  </c:chart>
  <c:spPr>
    <a:ln w="25400">
      <a:solidFill>
        <a:srgbClr val="0070C0"/>
      </a:solidFill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Sculls!$AH$257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Sculls!$AG$258:$AG$268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Sculls!$AH$258:$AH$268</c:f>
              <c:numCache>
                <c:formatCode>0.0</c:formatCode>
                <c:ptCount val="11"/>
                <c:pt idx="0">
                  <c:v>2.0752685000824584</c:v>
                </c:pt>
                <c:pt idx="1">
                  <c:v>1.7142528864006863</c:v>
                </c:pt>
                <c:pt idx="2">
                  <c:v>1.3287676271705919</c:v>
                </c:pt>
                <c:pt idx="3">
                  <c:v>0.91644260538082278</c:v>
                </c:pt>
                <c:pt idx="4">
                  <c:v>0.47456256757733684</c:v>
                </c:pt>
                <c:pt idx="5">
                  <c:v>0</c:v>
                </c:pt>
                <c:pt idx="6">
                  <c:v>-0.5108688217603401</c:v>
                </c:pt>
                <c:pt idx="7">
                  <c:v>-1.0622698834622923</c:v>
                </c:pt>
                <c:pt idx="8">
                  <c:v>-1.6591668855959512</c:v>
                </c:pt>
                <c:pt idx="9">
                  <c:v>-2.3074363751595826</c:v>
                </c:pt>
                <c:pt idx="10">
                  <c:v>-3.0140972783714943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Sculls!$AI$257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Sculls!$AG$258:$AG$268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Sculls!$AI$258:$AI$268</c:f>
              <c:numCache>
                <c:formatCode>0.0</c:formatCode>
                <c:ptCount val="11"/>
                <c:pt idx="0">
                  <c:v>-4.2597145830608056</c:v>
                </c:pt>
                <c:pt idx="1">
                  <c:v>-3.4296666770335591</c:v>
                </c:pt>
                <c:pt idx="2">
                  <c:v>-2.5892804153911015</c:v>
                </c:pt>
                <c:pt idx="3">
                  <c:v>-1.7379716756843848</c:v>
                </c:pt>
                <c:pt idx="4">
                  <c:v>-0.87510749203698168</c:v>
                </c:pt>
                <c:pt idx="5">
                  <c:v>0</c:v>
                </c:pt>
                <c:pt idx="6">
                  <c:v>0.88810061191277612</c:v>
                </c:pt>
                <c:pt idx="7">
                  <c:v>1.7900143507565431</c:v>
                </c:pt>
                <c:pt idx="8">
                  <c:v>2.7066411273278987</c:v>
                </c:pt>
                <c:pt idx="9">
                  <c:v>3.6389722525910173</c:v>
                </c:pt>
                <c:pt idx="10">
                  <c:v>4.5881041420951405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Sculls!$AJ$257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Sculls!$AG$258:$AG$268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Sculls!$AJ$258:$AJ$268</c:f>
              <c:numCache>
                <c:formatCode>0.0</c:formatCode>
                <c:ptCount val="11"/>
                <c:pt idx="0">
                  <c:v>-2.1844460829783259</c:v>
                </c:pt>
                <c:pt idx="1">
                  <c:v>-1.7154137906328515</c:v>
                </c:pt>
                <c:pt idx="2">
                  <c:v>-1.2605127882204812</c:v>
                </c:pt>
                <c:pt idx="3">
                  <c:v>-0.82152907030354072</c:v>
                </c:pt>
                <c:pt idx="4">
                  <c:v>-0.40054492445962353</c:v>
                </c:pt>
                <c:pt idx="5">
                  <c:v>0</c:v>
                </c:pt>
                <c:pt idx="6">
                  <c:v>0.37723179015246444</c:v>
                </c:pt>
                <c:pt idx="7">
                  <c:v>0.72774446729427211</c:v>
                </c:pt>
                <c:pt idx="8">
                  <c:v>1.0474742417319618</c:v>
                </c:pt>
                <c:pt idx="9">
                  <c:v>1.331535877431449</c:v>
                </c:pt>
                <c:pt idx="10">
                  <c:v>1.5740068637236675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Sculls!$AK$257</c:f>
              <c:strCache>
                <c:ptCount val="1"/>
                <c:pt idx="0">
                  <c:v>Change in span (cm)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Sculls!$AG$258:$AG$268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Sculls!$AK$258:$AK$268</c:f>
              <c:numCache>
                <c:formatCode>0.0</c:formatCode>
                <c:ptCount val="11"/>
                <c:pt idx="0">
                  <c:v>8.8883721540350962</c:v>
                </c:pt>
                <c:pt idx="1">
                  <c:v>7.2151009753598601</c:v>
                </c:pt>
                <c:pt idx="2">
                  <c:v>5.4916527014068492</c:v>
                </c:pt>
                <c:pt idx="3">
                  <c:v>3.7160871691925763</c:v>
                </c:pt>
                <c:pt idx="4">
                  <c:v>1.8862994549455152</c:v>
                </c:pt>
                <c:pt idx="5">
                  <c:v>0</c:v>
                </c:pt>
                <c:pt idx="6">
                  <c:v>-1.9453084964066818</c:v>
                </c:pt>
                <c:pt idx="7">
                  <c:v>-3.9523580856789522</c:v>
                </c:pt>
                <c:pt idx="8">
                  <c:v>-6.0241473179500247</c:v>
                </c:pt>
                <c:pt idx="9">
                  <c:v>-8.1639787898430427</c:v>
                </c:pt>
                <c:pt idx="10">
                  <c:v>-10.375503844729792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Sculls!$AL$257</c:f>
              <c:strCache>
                <c:ptCount val="1"/>
                <c:pt idx="0">
                  <c:v>change in overlap (cm)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Sculls!$AG$258:$AG$268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Sculls!$AL$258:$AL$268</c:f>
              <c:numCache>
                <c:formatCode>0.0</c:formatCode>
                <c:ptCount val="11"/>
                <c:pt idx="0">
                  <c:v>-8.8883721540350962</c:v>
                </c:pt>
                <c:pt idx="1">
                  <c:v>-7.2151009753598601</c:v>
                </c:pt>
                <c:pt idx="2">
                  <c:v>-5.4916527014068492</c:v>
                </c:pt>
                <c:pt idx="3">
                  <c:v>-3.7160871691925763</c:v>
                </c:pt>
                <c:pt idx="4">
                  <c:v>-1.8862994549455152</c:v>
                </c:pt>
                <c:pt idx="5">
                  <c:v>0</c:v>
                </c:pt>
                <c:pt idx="6">
                  <c:v>1.9453084964066818</c:v>
                </c:pt>
                <c:pt idx="7">
                  <c:v>3.9523580856789522</c:v>
                </c:pt>
                <c:pt idx="8">
                  <c:v>6.0241473179500247</c:v>
                </c:pt>
                <c:pt idx="9">
                  <c:v>8.1639787898430427</c:v>
                </c:pt>
                <c:pt idx="10">
                  <c:v>10.375503844729792</c:v>
                </c:pt>
              </c:numCache>
            </c:numRef>
          </c:yVal>
          <c:smooth val="1"/>
        </c:ser>
        <c:axId val="141798016"/>
        <c:axId val="141812480"/>
      </c:scatterChart>
      <c:valAx>
        <c:axId val="141798016"/>
        <c:scaling>
          <c:orientation val="minMax"/>
          <c:max val="5"/>
          <c:min val="-5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Stretcher movement to stern (cm)</a:t>
                </a:r>
              </a:p>
            </c:rich>
          </c:tx>
          <c:layout/>
        </c:title>
        <c:numFmt formatCode="0.0" sourceLinked="1"/>
        <c:tickLblPos val="low"/>
        <c:crossAx val="141812480"/>
        <c:crosses val="autoZero"/>
        <c:crossBetween val="midCat"/>
        <c:majorUnit val="1"/>
      </c:valAx>
      <c:valAx>
        <c:axId val="141812480"/>
        <c:scaling>
          <c:orientation val="minMax"/>
        </c:scaling>
        <c:axPos val="l"/>
        <c:majorGridlines/>
        <c:numFmt formatCode="0.0" sourceLinked="1"/>
        <c:tickLblPos val="nextTo"/>
        <c:crossAx val="141798016"/>
        <c:crosses val="autoZero"/>
        <c:crossBetween val="midCat"/>
      </c:valAx>
    </c:plotArea>
    <c:legend>
      <c:legendPos val="r"/>
      <c:layout/>
    </c:legend>
    <c:plotVisOnly val="1"/>
  </c:chart>
  <c:spPr>
    <a:ln w="25400">
      <a:solidFill>
        <a:srgbClr val="0070C0"/>
      </a:solidFill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Sculls!$AH$257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Sculls!$AG$258:$AG$268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Sculls!$AH$258:$AH$268</c:f>
              <c:numCache>
                <c:formatCode>0.0</c:formatCode>
                <c:ptCount val="11"/>
                <c:pt idx="0">
                  <c:v>2.0752685000824584</c:v>
                </c:pt>
                <c:pt idx="1">
                  <c:v>1.7142528864006863</c:v>
                </c:pt>
                <c:pt idx="2">
                  <c:v>1.3287676271705919</c:v>
                </c:pt>
                <c:pt idx="3">
                  <c:v>0.91644260538082278</c:v>
                </c:pt>
                <c:pt idx="4">
                  <c:v>0.47456256757733684</c:v>
                </c:pt>
                <c:pt idx="5">
                  <c:v>0</c:v>
                </c:pt>
                <c:pt idx="6">
                  <c:v>-0.5108688217603401</c:v>
                </c:pt>
                <c:pt idx="7">
                  <c:v>-1.0622698834622923</c:v>
                </c:pt>
                <c:pt idx="8">
                  <c:v>-1.6591668855959512</c:v>
                </c:pt>
                <c:pt idx="9">
                  <c:v>-2.3074363751595826</c:v>
                </c:pt>
                <c:pt idx="10">
                  <c:v>-3.0140972783714943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Sculls!$AI$257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Sculls!$AG$258:$AG$268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Sculls!$AI$258:$AI$268</c:f>
              <c:numCache>
                <c:formatCode>0.0</c:formatCode>
                <c:ptCount val="11"/>
                <c:pt idx="0">
                  <c:v>-4.2597145830608056</c:v>
                </c:pt>
                <c:pt idx="1">
                  <c:v>-3.4296666770335591</c:v>
                </c:pt>
                <c:pt idx="2">
                  <c:v>-2.5892804153911015</c:v>
                </c:pt>
                <c:pt idx="3">
                  <c:v>-1.7379716756843848</c:v>
                </c:pt>
                <c:pt idx="4">
                  <c:v>-0.87510749203698168</c:v>
                </c:pt>
                <c:pt idx="5">
                  <c:v>0</c:v>
                </c:pt>
                <c:pt idx="6">
                  <c:v>0.88810061191277612</c:v>
                </c:pt>
                <c:pt idx="7">
                  <c:v>1.7900143507565431</c:v>
                </c:pt>
                <c:pt idx="8">
                  <c:v>2.7066411273278987</c:v>
                </c:pt>
                <c:pt idx="9">
                  <c:v>3.6389722525910173</c:v>
                </c:pt>
                <c:pt idx="10">
                  <c:v>4.5881041420951405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Sculls!$AJ$257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Sculls!$AG$258:$AG$268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Sculls!$AJ$258:$AJ$268</c:f>
              <c:numCache>
                <c:formatCode>0.0</c:formatCode>
                <c:ptCount val="11"/>
                <c:pt idx="0">
                  <c:v>-2.1844460829783259</c:v>
                </c:pt>
                <c:pt idx="1">
                  <c:v>-1.7154137906328515</c:v>
                </c:pt>
                <c:pt idx="2">
                  <c:v>-1.2605127882204812</c:v>
                </c:pt>
                <c:pt idx="3">
                  <c:v>-0.82152907030354072</c:v>
                </c:pt>
                <c:pt idx="4">
                  <c:v>-0.40054492445962353</c:v>
                </c:pt>
                <c:pt idx="5">
                  <c:v>0</c:v>
                </c:pt>
                <c:pt idx="6">
                  <c:v>0.37723179015246444</c:v>
                </c:pt>
                <c:pt idx="7">
                  <c:v>0.72774446729427211</c:v>
                </c:pt>
                <c:pt idx="8">
                  <c:v>1.0474742417319618</c:v>
                </c:pt>
                <c:pt idx="9">
                  <c:v>1.331535877431449</c:v>
                </c:pt>
                <c:pt idx="10">
                  <c:v>1.5740068637236675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Sculls!$AK$257</c:f>
              <c:strCache>
                <c:ptCount val="1"/>
                <c:pt idx="0">
                  <c:v>Change in span (cm)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Sculls!$AG$258:$AG$268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Sculls!$AK$258:$AK$268</c:f>
              <c:numCache>
                <c:formatCode>0.0</c:formatCode>
                <c:ptCount val="11"/>
                <c:pt idx="0">
                  <c:v>8.8883721540350962</c:v>
                </c:pt>
                <c:pt idx="1">
                  <c:v>7.2151009753598601</c:v>
                </c:pt>
                <c:pt idx="2">
                  <c:v>5.4916527014068492</c:v>
                </c:pt>
                <c:pt idx="3">
                  <c:v>3.7160871691925763</c:v>
                </c:pt>
                <c:pt idx="4">
                  <c:v>1.8862994549455152</c:v>
                </c:pt>
                <c:pt idx="5">
                  <c:v>0</c:v>
                </c:pt>
                <c:pt idx="6">
                  <c:v>-1.9453084964066818</c:v>
                </c:pt>
                <c:pt idx="7">
                  <c:v>-3.9523580856789522</c:v>
                </c:pt>
                <c:pt idx="8">
                  <c:v>-6.0241473179500247</c:v>
                </c:pt>
                <c:pt idx="9">
                  <c:v>-8.1639787898430427</c:v>
                </c:pt>
                <c:pt idx="10">
                  <c:v>-10.375503844729792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Sculls!$AL$257</c:f>
              <c:strCache>
                <c:ptCount val="1"/>
                <c:pt idx="0">
                  <c:v>change in overlap (cm)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Sculls!$AG$258:$AG$268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Sculls!$AL$258:$AL$268</c:f>
              <c:numCache>
                <c:formatCode>0.0</c:formatCode>
                <c:ptCount val="11"/>
                <c:pt idx="0">
                  <c:v>-8.8883721540350962</c:v>
                </c:pt>
                <c:pt idx="1">
                  <c:v>-7.2151009753598601</c:v>
                </c:pt>
                <c:pt idx="2">
                  <c:v>-5.4916527014068492</c:v>
                </c:pt>
                <c:pt idx="3">
                  <c:v>-3.7160871691925763</c:v>
                </c:pt>
                <c:pt idx="4">
                  <c:v>-1.8862994549455152</c:v>
                </c:pt>
                <c:pt idx="5">
                  <c:v>0</c:v>
                </c:pt>
                <c:pt idx="6">
                  <c:v>1.9453084964066818</c:v>
                </c:pt>
                <c:pt idx="7">
                  <c:v>3.9523580856789522</c:v>
                </c:pt>
                <c:pt idx="8">
                  <c:v>6.0241473179500247</c:v>
                </c:pt>
                <c:pt idx="9">
                  <c:v>8.1639787898430427</c:v>
                </c:pt>
                <c:pt idx="10">
                  <c:v>10.375503844729792</c:v>
                </c:pt>
              </c:numCache>
            </c:numRef>
          </c:yVal>
          <c:smooth val="1"/>
        </c:ser>
        <c:axId val="142298112"/>
        <c:axId val="142320768"/>
      </c:scatterChart>
      <c:valAx>
        <c:axId val="142298112"/>
        <c:scaling>
          <c:orientation val="minMax"/>
          <c:max val="5"/>
          <c:min val="-5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Stretcher movement to stern (cm)</a:t>
                </a:r>
              </a:p>
            </c:rich>
          </c:tx>
          <c:layout/>
        </c:title>
        <c:numFmt formatCode="0.0" sourceLinked="1"/>
        <c:tickLblPos val="low"/>
        <c:crossAx val="142320768"/>
        <c:crosses val="autoZero"/>
        <c:crossBetween val="midCat"/>
        <c:majorUnit val="1"/>
      </c:valAx>
      <c:valAx>
        <c:axId val="142320768"/>
        <c:scaling>
          <c:orientation val="minMax"/>
        </c:scaling>
        <c:axPos val="l"/>
        <c:majorGridlines/>
        <c:numFmt formatCode="0.0" sourceLinked="1"/>
        <c:tickLblPos val="nextTo"/>
        <c:crossAx val="142298112"/>
        <c:crosses val="autoZero"/>
        <c:crossBetween val="midCat"/>
      </c:valAx>
    </c:plotArea>
    <c:legend>
      <c:legendPos val="r"/>
      <c:layout/>
    </c:legend>
    <c:plotVisOnly val="1"/>
  </c:chart>
  <c:spPr>
    <a:ln w="25400">
      <a:solidFill>
        <a:srgbClr val="0070C0"/>
      </a:solidFill>
    </a:ln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Sculls!$AH$272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Sculls!$AG$273:$AG$283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Sculls!$AH$273:$AH$283</c:f>
              <c:numCache>
                <c:formatCode>0.0</c:formatCode>
                <c:ptCount val="11"/>
                <c:pt idx="0">
                  <c:v>7.0520016422748597</c:v>
                </c:pt>
                <c:pt idx="1">
                  <c:v>5.6133552071894997</c:v>
                </c:pt>
                <c:pt idx="2">
                  <c:v>4.1886884800962463</c:v>
                </c:pt>
                <c:pt idx="3">
                  <c:v>2.7781561524901974</c:v>
                </c:pt>
                <c:pt idx="4">
                  <c:v>1.3818899764653167</c:v>
                </c:pt>
                <c:pt idx="5">
                  <c:v>0</c:v>
                </c:pt>
                <c:pt idx="6">
                  <c:v>-1.3674242301900676</c:v>
                </c:pt>
                <c:pt idx="7">
                  <c:v>-2.7203125004264734</c:v>
                </c:pt>
                <c:pt idx="8">
                  <c:v>-4.058612798224047</c:v>
                </c:pt>
                <c:pt idx="9">
                  <c:v>-5.3822902181778076</c:v>
                </c:pt>
                <c:pt idx="10">
                  <c:v>-6.6913259065690482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Sculls!$AI$272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Sculls!$AG$273:$AG$283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Sculls!$AI$273:$AI$283</c:f>
              <c:numCache>
                <c:formatCode>0.0</c:formatCode>
                <c:ptCount val="11"/>
                <c:pt idx="0">
                  <c:v>-2.3893855058962217</c:v>
                </c:pt>
                <c:pt idx="1">
                  <c:v>-1.8967592059076921</c:v>
                </c:pt>
                <c:pt idx="2">
                  <c:v>-1.4116089103204459</c:v>
                </c:pt>
                <c:pt idx="3">
                  <c:v>-0.93383372219093985</c:v>
                </c:pt>
                <c:pt idx="4">
                  <c:v>-0.46333168543090153</c:v>
                </c:pt>
                <c:pt idx="5">
                  <c:v>0</c:v>
                </c:pt>
                <c:pt idx="6">
                  <c:v>0.45626477671663679</c:v>
                </c:pt>
                <c:pt idx="7">
                  <c:v>0.90556654185985508</c:v>
                </c:pt>
                <c:pt idx="8">
                  <c:v>1.34800947187383</c:v>
                </c:pt>
                <c:pt idx="9">
                  <c:v>1.7836978595946533</c:v>
                </c:pt>
                <c:pt idx="10">
                  <c:v>2.212735963128047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Sculls!$AJ$272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Sculls!$AG$273:$AG$283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Sculls!$AJ$273:$AJ$283</c:f>
              <c:numCache>
                <c:formatCode>0.0</c:formatCode>
                <c:ptCount val="11"/>
                <c:pt idx="0">
                  <c:v>4.6626161363786451</c:v>
                </c:pt>
                <c:pt idx="1">
                  <c:v>3.7165960012818147</c:v>
                </c:pt>
                <c:pt idx="2">
                  <c:v>2.7770795697758075</c:v>
                </c:pt>
                <c:pt idx="3">
                  <c:v>1.8443224302992576</c:v>
                </c:pt>
                <c:pt idx="4">
                  <c:v>0.91855829103442943</c:v>
                </c:pt>
                <c:pt idx="5">
                  <c:v>0</c:v>
                </c:pt>
                <c:pt idx="6">
                  <c:v>-0.91115945347341665</c:v>
                </c:pt>
                <c:pt idx="7">
                  <c:v>-1.8147459585666041</c:v>
                </c:pt>
                <c:pt idx="8">
                  <c:v>-2.7106033263502098</c:v>
                </c:pt>
                <c:pt idx="9">
                  <c:v>-3.5985923585831472</c:v>
                </c:pt>
                <c:pt idx="10">
                  <c:v>-4.4785899434409941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Sculls!$AK$272</c:f>
              <c:strCache>
                <c:ptCount val="1"/>
                <c:pt idx="0">
                  <c:v>Change in inboard (cm)</c:v>
                </c:pt>
              </c:strCache>
            </c:strRef>
          </c:tx>
          <c:spPr>
            <a:ln w="41275">
              <a:prstDash val="sysDash"/>
            </a:ln>
          </c:spPr>
          <c:marker>
            <c:symbol val="none"/>
          </c:marker>
          <c:xVal>
            <c:numRef>
              <c:f>Sculls!$AG$273:$AG$283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Sculls!$AK$273:$AK$283</c:f>
              <c:numCache>
                <c:formatCode>0.0</c:formatCode>
                <c:ptCount val="11"/>
                <c:pt idx="0">
                  <c:v>-3.382998088709158</c:v>
                </c:pt>
                <c:pt idx="1">
                  <c:v>-2.7188220973132928</c:v>
                </c:pt>
                <c:pt idx="2">
                  <c:v>-2.0482915910080948</c:v>
                </c:pt>
                <c:pt idx="3">
                  <c:v>-1.3715507974994381</c:v>
                </c:pt>
                <c:pt idx="4">
                  <c:v>-0.68874088884363971</c:v>
                </c:pt>
                <c:pt idx="5">
                  <c:v>0</c:v>
                </c:pt>
                <c:pt idx="6">
                  <c:v>0.69453674825119549</c:v>
                </c:pt>
                <c:pt idx="7">
                  <c:v>1.3947372224449879</c:v>
                </c:pt>
                <c:pt idx="8">
                  <c:v>2.1004722460186969</c:v>
                </c:pt>
                <c:pt idx="9">
                  <c:v>2.8116155657229456</c:v>
                </c:pt>
                <c:pt idx="10">
                  <c:v>3.5280438152078233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Sculls!$AL$272</c:f>
              <c:strCache>
                <c:ptCount val="1"/>
                <c:pt idx="0">
                  <c:v>change in overlap (cm)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Sculls!$AG$273:$AG$283</c:f>
              <c:numCache>
                <c:formatCode>0.0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-5</c:v>
                </c:pt>
              </c:numCache>
            </c:numRef>
          </c:xVal>
          <c:yVal>
            <c:numRef>
              <c:f>Sculls!$AL$273:$AL$283</c:f>
              <c:numCache>
                <c:formatCode>0.0</c:formatCode>
                <c:ptCount val="11"/>
                <c:pt idx="0">
                  <c:v>-6.7659961774183159</c:v>
                </c:pt>
                <c:pt idx="1">
                  <c:v>-5.4376441946265857</c:v>
                </c:pt>
                <c:pt idx="2">
                  <c:v>-4.0965831820161895</c:v>
                </c:pt>
                <c:pt idx="3">
                  <c:v>-2.7431015949988762</c:v>
                </c:pt>
                <c:pt idx="4">
                  <c:v>-1.3774817776872794</c:v>
                </c:pt>
                <c:pt idx="5">
                  <c:v>0</c:v>
                </c:pt>
                <c:pt idx="6">
                  <c:v>1.389073496502391</c:v>
                </c:pt>
                <c:pt idx="7">
                  <c:v>2.7894744448899758</c:v>
                </c:pt>
                <c:pt idx="8">
                  <c:v>4.2009444920373937</c:v>
                </c:pt>
                <c:pt idx="9">
                  <c:v>5.6232311314458912</c:v>
                </c:pt>
                <c:pt idx="10">
                  <c:v>7.0560876304156466</c:v>
                </c:pt>
              </c:numCache>
            </c:numRef>
          </c:yVal>
          <c:smooth val="1"/>
        </c:ser>
        <c:axId val="142224768"/>
        <c:axId val="142243328"/>
      </c:scatterChart>
      <c:valAx>
        <c:axId val="142224768"/>
        <c:scaling>
          <c:orientation val="minMax"/>
          <c:max val="5"/>
          <c:min val="-5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Stretcher movement to stern (cm)</a:t>
                </a:r>
              </a:p>
            </c:rich>
          </c:tx>
          <c:layout/>
        </c:title>
        <c:numFmt formatCode="0.0" sourceLinked="1"/>
        <c:tickLblPos val="low"/>
        <c:crossAx val="142243328"/>
        <c:crosses val="autoZero"/>
        <c:crossBetween val="midCat"/>
        <c:majorUnit val="1"/>
      </c:valAx>
      <c:valAx>
        <c:axId val="142243328"/>
        <c:scaling>
          <c:orientation val="minMax"/>
        </c:scaling>
        <c:axPos val="l"/>
        <c:majorGridlines/>
        <c:numFmt formatCode="0.0" sourceLinked="1"/>
        <c:tickLblPos val="nextTo"/>
        <c:crossAx val="142224768"/>
        <c:crosses val="autoZero"/>
        <c:crossBetween val="midCat"/>
      </c:valAx>
    </c:plotArea>
    <c:legend>
      <c:legendPos val="r"/>
      <c:layout/>
    </c:legend>
    <c:plotVisOnly val="1"/>
  </c:chart>
  <c:spPr>
    <a:ln w="25400">
      <a:solidFill>
        <a:srgbClr val="0070C0"/>
      </a:solidFill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Sweep!$AH$32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Sweep!$AG$33:$AG$43</c:f>
              <c:numCache>
                <c:formatCode>0.0</c:formatCode>
                <c:ptCount val="11"/>
                <c:pt idx="0">
                  <c:v>93</c:v>
                </c:pt>
                <c:pt idx="1">
                  <c:v>92</c:v>
                </c:pt>
                <c:pt idx="2">
                  <c:v>91</c:v>
                </c:pt>
                <c:pt idx="3">
                  <c:v>90</c:v>
                </c:pt>
                <c:pt idx="4">
                  <c:v>89</c:v>
                </c:pt>
                <c:pt idx="5">
                  <c:v>88</c:v>
                </c:pt>
                <c:pt idx="6">
                  <c:v>87</c:v>
                </c:pt>
                <c:pt idx="7">
                  <c:v>86</c:v>
                </c:pt>
                <c:pt idx="8">
                  <c:v>85</c:v>
                </c:pt>
                <c:pt idx="9">
                  <c:v>84</c:v>
                </c:pt>
                <c:pt idx="10">
                  <c:v>83</c:v>
                </c:pt>
              </c:numCache>
            </c:numRef>
          </c:xVal>
          <c:yVal>
            <c:numRef>
              <c:f>Sweep!$AH$33:$AH$43</c:f>
              <c:numCache>
                <c:formatCode>0.0</c:formatCode>
                <c:ptCount val="11"/>
                <c:pt idx="0">
                  <c:v>6.12415759733274</c:v>
                </c:pt>
                <c:pt idx="1">
                  <c:v>4.790798829354145</c:v>
                </c:pt>
                <c:pt idx="2">
                  <c:v>3.5193273902024487</c:v>
                </c:pt>
                <c:pt idx="3">
                  <c:v>2.301299263984987</c:v>
                </c:pt>
                <c:pt idx="4">
                  <c:v>1.1300030576859967</c:v>
                </c:pt>
                <c:pt idx="5">
                  <c:v>0</c:v>
                </c:pt>
                <c:pt idx="6">
                  <c:v>-1.0931900934296266</c:v>
                </c:pt>
                <c:pt idx="7">
                  <c:v>-2.1533097873204383</c:v>
                </c:pt>
                <c:pt idx="8">
                  <c:v>-3.183523562082776</c:v>
                </c:pt>
                <c:pt idx="9">
                  <c:v>-4.1865355801599051</c:v>
                </c:pt>
                <c:pt idx="10">
                  <c:v>-5.1646783157837675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Sweep!$AI$32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Sweep!$AG$33:$AG$43</c:f>
              <c:numCache>
                <c:formatCode>0.0</c:formatCode>
                <c:ptCount val="11"/>
                <c:pt idx="0">
                  <c:v>93</c:v>
                </c:pt>
                <c:pt idx="1">
                  <c:v>92</c:v>
                </c:pt>
                <c:pt idx="2">
                  <c:v>91</c:v>
                </c:pt>
                <c:pt idx="3">
                  <c:v>90</c:v>
                </c:pt>
                <c:pt idx="4">
                  <c:v>89</c:v>
                </c:pt>
                <c:pt idx="5">
                  <c:v>88</c:v>
                </c:pt>
                <c:pt idx="6">
                  <c:v>87</c:v>
                </c:pt>
                <c:pt idx="7">
                  <c:v>86</c:v>
                </c:pt>
                <c:pt idx="8">
                  <c:v>85</c:v>
                </c:pt>
                <c:pt idx="9">
                  <c:v>84</c:v>
                </c:pt>
                <c:pt idx="10">
                  <c:v>83</c:v>
                </c:pt>
              </c:numCache>
            </c:numRef>
          </c:xVal>
          <c:yVal>
            <c:numRef>
              <c:f>Sweep!$AI$33:$AI$43</c:f>
              <c:numCache>
                <c:formatCode>0.0</c:formatCode>
                <c:ptCount val="11"/>
                <c:pt idx="0">
                  <c:v>-6.1241575973327471</c:v>
                </c:pt>
                <c:pt idx="1">
                  <c:v>-4.7907988293541557</c:v>
                </c:pt>
                <c:pt idx="2">
                  <c:v>-3.5193273902024522</c:v>
                </c:pt>
                <c:pt idx="3">
                  <c:v>-2.301299263984987</c:v>
                </c:pt>
                <c:pt idx="4">
                  <c:v>-1.1300030576860038</c:v>
                </c:pt>
                <c:pt idx="5">
                  <c:v>0</c:v>
                </c:pt>
                <c:pt idx="6">
                  <c:v>1.093190093429623</c:v>
                </c:pt>
                <c:pt idx="7">
                  <c:v>2.1533097873204348</c:v>
                </c:pt>
                <c:pt idx="8">
                  <c:v>3.1835235620827724</c:v>
                </c:pt>
                <c:pt idx="9">
                  <c:v>4.1865355801599016</c:v>
                </c:pt>
                <c:pt idx="10">
                  <c:v>5.1646783157837639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Sweep!$AJ$32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Sweep!$AG$33:$AG$43</c:f>
              <c:numCache>
                <c:formatCode>0.0</c:formatCode>
                <c:ptCount val="11"/>
                <c:pt idx="0">
                  <c:v>93</c:v>
                </c:pt>
                <c:pt idx="1">
                  <c:v>92</c:v>
                </c:pt>
                <c:pt idx="2">
                  <c:v>91</c:v>
                </c:pt>
                <c:pt idx="3">
                  <c:v>90</c:v>
                </c:pt>
                <c:pt idx="4">
                  <c:v>89</c:v>
                </c:pt>
                <c:pt idx="5">
                  <c:v>88</c:v>
                </c:pt>
                <c:pt idx="6">
                  <c:v>87</c:v>
                </c:pt>
                <c:pt idx="7">
                  <c:v>86</c:v>
                </c:pt>
                <c:pt idx="8">
                  <c:v>85</c:v>
                </c:pt>
                <c:pt idx="9">
                  <c:v>84</c:v>
                </c:pt>
                <c:pt idx="10">
                  <c:v>83</c:v>
                </c:pt>
              </c:numCache>
            </c:numRef>
          </c:xVal>
          <c:yVal>
            <c:numRef>
              <c:f>Sweep!$AJ$33:$AJ$43</c:f>
              <c:numCache>
                <c:formatCode>0.0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Sweep!$AK$32</c:f>
              <c:strCache>
                <c:ptCount val="1"/>
                <c:pt idx="0">
                  <c:v>distance to move stretcher to stern (cm)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xVal>
            <c:numRef>
              <c:f>Sweep!$AG$33:$AG$43</c:f>
              <c:numCache>
                <c:formatCode>0.0</c:formatCode>
                <c:ptCount val="11"/>
                <c:pt idx="0">
                  <c:v>93</c:v>
                </c:pt>
                <c:pt idx="1">
                  <c:v>92</c:v>
                </c:pt>
                <c:pt idx="2">
                  <c:v>91</c:v>
                </c:pt>
                <c:pt idx="3">
                  <c:v>90</c:v>
                </c:pt>
                <c:pt idx="4">
                  <c:v>89</c:v>
                </c:pt>
                <c:pt idx="5">
                  <c:v>88</c:v>
                </c:pt>
                <c:pt idx="6">
                  <c:v>87</c:v>
                </c:pt>
                <c:pt idx="7">
                  <c:v>86</c:v>
                </c:pt>
                <c:pt idx="8">
                  <c:v>85</c:v>
                </c:pt>
                <c:pt idx="9">
                  <c:v>84</c:v>
                </c:pt>
                <c:pt idx="10">
                  <c:v>83</c:v>
                </c:pt>
              </c:numCache>
            </c:numRef>
          </c:xVal>
          <c:yVal>
            <c:numRef>
              <c:f>Sweep!$AK$33:$AK$43</c:f>
              <c:numCache>
                <c:formatCode>0.0</c:formatCode>
                <c:ptCount val="11"/>
                <c:pt idx="0">
                  <c:v>11.106360010663032</c:v>
                </c:pt>
                <c:pt idx="1">
                  <c:v>8.6370739097347453</c:v>
                </c:pt>
                <c:pt idx="2">
                  <c:v>6.3078642428299929</c:v>
                </c:pt>
                <c:pt idx="3">
                  <c:v>4.1009507495149862</c:v>
                </c:pt>
                <c:pt idx="4">
                  <c:v>2.0021657343692567</c:v>
                </c:pt>
                <c:pt idx="5">
                  <c:v>0</c:v>
                </c:pt>
                <c:pt idx="6">
                  <c:v>-1.9150493642487092</c:v>
                </c:pt>
                <c:pt idx="7">
                  <c:v>-3.7509385247534226</c:v>
                </c:pt>
                <c:pt idx="8">
                  <c:v>-5.5144091330035394</c:v>
                </c:pt>
                <c:pt idx="9">
                  <c:v>-7.211233899671825</c:v>
                </c:pt>
                <c:pt idx="10">
                  <c:v>-8.8464016567772319</c:v>
                </c:pt>
              </c:numCache>
            </c:numRef>
          </c:yVal>
          <c:smooth val="1"/>
        </c:ser>
        <c:axId val="142373632"/>
        <c:axId val="142375168"/>
      </c:scatterChart>
      <c:valAx>
        <c:axId val="142373632"/>
        <c:scaling>
          <c:orientation val="minMax"/>
        </c:scaling>
        <c:axPos val="b"/>
        <c:numFmt formatCode="0.0" sourceLinked="1"/>
        <c:tickLblPos val="nextTo"/>
        <c:crossAx val="142375168"/>
        <c:crosses val="autoZero"/>
        <c:crossBetween val="midCat"/>
      </c:valAx>
      <c:valAx>
        <c:axId val="142375168"/>
        <c:scaling>
          <c:orientation val="minMax"/>
        </c:scaling>
        <c:axPos val="l"/>
        <c:majorGridlines/>
        <c:numFmt formatCode="0.0" sourceLinked="1"/>
        <c:tickLblPos val="nextTo"/>
        <c:crossAx val="14237363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6617994551628945"/>
          <c:y val="0.11096291224466505"/>
          <c:w val="0.33382005448371088"/>
          <c:h val="0.83990961999315372"/>
        </c:manualLayout>
      </c:layout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Sweep!$AN$32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Sweep!$AM$33:$AM$43</c:f>
              <c:numCache>
                <c:formatCode>0.0%</c:formatCode>
                <c:ptCount val="11"/>
                <c:pt idx="0">
                  <c:v>5.6818181818181879E-2</c:v>
                </c:pt>
                <c:pt idx="1">
                  <c:v>4.5454545454545414E-2</c:v>
                </c:pt>
                <c:pt idx="2">
                  <c:v>3.4090909090909172E-2</c:v>
                </c:pt>
                <c:pt idx="3">
                  <c:v>2.2727272727272707E-2</c:v>
                </c:pt>
                <c:pt idx="4">
                  <c:v>1.1363636363636465E-2</c:v>
                </c:pt>
                <c:pt idx="5">
                  <c:v>0</c:v>
                </c:pt>
                <c:pt idx="6">
                  <c:v>-1.1363636363636354E-2</c:v>
                </c:pt>
                <c:pt idx="7">
                  <c:v>-2.2727272727272707E-2</c:v>
                </c:pt>
                <c:pt idx="8">
                  <c:v>-3.4090909090909061E-2</c:v>
                </c:pt>
                <c:pt idx="9">
                  <c:v>-4.5454545454545414E-2</c:v>
                </c:pt>
                <c:pt idx="10">
                  <c:v>-5.6818181818181768E-2</c:v>
                </c:pt>
              </c:numCache>
            </c:numRef>
          </c:xVal>
          <c:yVal>
            <c:numRef>
              <c:f>Sweep!$AN$33:$AN$43</c:f>
              <c:numCache>
                <c:formatCode>0%</c:formatCode>
                <c:ptCount val="11"/>
                <c:pt idx="0">
                  <c:v>0.10018438611566083</c:v>
                </c:pt>
                <c:pt idx="1">
                  <c:v>7.8372124181048219E-2</c:v>
                </c:pt>
                <c:pt idx="2">
                  <c:v>5.7572269903867657E-2</c:v>
                </c:pt>
                <c:pt idx="3">
                  <c:v>3.7646688604351386E-2</c:v>
                </c:pt>
                <c:pt idx="4">
                  <c:v>1.8485589380063727E-2</c:v>
                </c:pt>
                <c:pt idx="5">
                  <c:v>0</c:v>
                </c:pt>
                <c:pt idx="6">
                  <c:v>-1.7883370353772188E-2</c:v>
                </c:pt>
                <c:pt idx="7">
                  <c:v>-3.5225745864786107E-2</c:v>
                </c:pt>
                <c:pt idx="8">
                  <c:v>-5.2078893902226198E-2</c:v>
                </c:pt>
                <c:pt idx="9">
                  <c:v>-6.8487051546871403E-2</c:v>
                </c:pt>
                <c:pt idx="10">
                  <c:v>-8.4488375475022748E-2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Sweep!$AO$32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Sweep!$AM$33:$AM$43</c:f>
              <c:numCache>
                <c:formatCode>0.0%</c:formatCode>
                <c:ptCount val="11"/>
                <c:pt idx="0">
                  <c:v>5.6818181818181879E-2</c:v>
                </c:pt>
                <c:pt idx="1">
                  <c:v>4.5454545454545414E-2</c:v>
                </c:pt>
                <c:pt idx="2">
                  <c:v>3.4090909090909172E-2</c:v>
                </c:pt>
                <c:pt idx="3">
                  <c:v>2.2727272727272707E-2</c:v>
                </c:pt>
                <c:pt idx="4">
                  <c:v>1.1363636363636465E-2</c:v>
                </c:pt>
                <c:pt idx="5">
                  <c:v>0</c:v>
                </c:pt>
                <c:pt idx="6">
                  <c:v>-1.1363636363636354E-2</c:v>
                </c:pt>
                <c:pt idx="7">
                  <c:v>-2.2727272727272707E-2</c:v>
                </c:pt>
                <c:pt idx="8">
                  <c:v>-3.4090909090909061E-2</c:v>
                </c:pt>
                <c:pt idx="9">
                  <c:v>-4.5454545454545414E-2</c:v>
                </c:pt>
                <c:pt idx="10">
                  <c:v>-5.6818181818181768E-2</c:v>
                </c:pt>
              </c:numCache>
            </c:numRef>
          </c:xVal>
          <c:yVal>
            <c:numRef>
              <c:f>Sweep!$AO$33:$AO$43</c:f>
              <c:numCache>
                <c:formatCode>0%</c:formatCode>
                <c:ptCount val="11"/>
                <c:pt idx="0">
                  <c:v>-0.20162641420599126</c:v>
                </c:pt>
                <c:pt idx="1">
                  <c:v>-0.15772807505241859</c:v>
                </c:pt>
                <c:pt idx="2">
                  <c:v>-0.11586726024367777</c:v>
                </c:pt>
                <c:pt idx="3">
                  <c:v>-7.5765966377852045E-2</c:v>
                </c:pt>
                <c:pt idx="4">
                  <c:v>-3.7203233414872527E-2</c:v>
                </c:pt>
                <c:pt idx="5">
                  <c:v>0</c:v>
                </c:pt>
                <c:pt idx="6">
                  <c:v>3.5991235542293332E-2</c:v>
                </c:pt>
                <c:pt idx="7">
                  <c:v>7.089369014297997E-2</c:v>
                </c:pt>
                <c:pt idx="8">
                  <c:v>0.10481154839036022</c:v>
                </c:pt>
                <c:pt idx="9">
                  <c:v>0.13783383976615471</c:v>
                </c:pt>
                <c:pt idx="10">
                  <c:v>0.17003735661414909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Sweep!$AP$32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Sweep!$AM$33:$AM$43</c:f>
              <c:numCache>
                <c:formatCode>0.0%</c:formatCode>
                <c:ptCount val="11"/>
                <c:pt idx="0">
                  <c:v>5.6818181818181879E-2</c:v>
                </c:pt>
                <c:pt idx="1">
                  <c:v>4.5454545454545414E-2</c:v>
                </c:pt>
                <c:pt idx="2">
                  <c:v>3.4090909090909172E-2</c:v>
                </c:pt>
                <c:pt idx="3">
                  <c:v>2.2727272727272707E-2</c:v>
                </c:pt>
                <c:pt idx="4">
                  <c:v>1.1363636363636465E-2</c:v>
                </c:pt>
                <c:pt idx="5">
                  <c:v>0</c:v>
                </c:pt>
                <c:pt idx="6">
                  <c:v>-1.1363636363636354E-2</c:v>
                </c:pt>
                <c:pt idx="7">
                  <c:v>-2.2727272727272707E-2</c:v>
                </c:pt>
                <c:pt idx="8">
                  <c:v>-3.4090909090909061E-2</c:v>
                </c:pt>
                <c:pt idx="9">
                  <c:v>-4.5454545454545414E-2</c:v>
                </c:pt>
                <c:pt idx="10">
                  <c:v>-5.6818181818181768E-2</c:v>
                </c:pt>
              </c:numCache>
            </c:numRef>
          </c:xVal>
          <c:yVal>
            <c:numRef>
              <c:f>Sweep!$AP$33:$AP$43</c:f>
              <c:numCache>
                <c:formatCode>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Sweep!$AQ$32</c:f>
              <c:strCache>
                <c:ptCount val="1"/>
                <c:pt idx="0">
                  <c:v>distance to move stretcher to stern (cm)</c:v>
                </c:pt>
              </c:strCache>
            </c:strRef>
          </c:tx>
          <c:marker>
            <c:symbol val="none"/>
          </c:marker>
          <c:xVal>
            <c:numRef>
              <c:f>Sweep!$AM$33:$AM$43</c:f>
              <c:numCache>
                <c:formatCode>0.0%</c:formatCode>
                <c:ptCount val="11"/>
                <c:pt idx="0">
                  <c:v>5.6818181818181879E-2</c:v>
                </c:pt>
                <c:pt idx="1">
                  <c:v>4.5454545454545414E-2</c:v>
                </c:pt>
                <c:pt idx="2">
                  <c:v>3.4090909090909172E-2</c:v>
                </c:pt>
                <c:pt idx="3">
                  <c:v>2.2727272727272707E-2</c:v>
                </c:pt>
                <c:pt idx="4">
                  <c:v>1.1363636363636465E-2</c:v>
                </c:pt>
                <c:pt idx="5">
                  <c:v>0</c:v>
                </c:pt>
                <c:pt idx="6">
                  <c:v>-1.1363636363636354E-2</c:v>
                </c:pt>
                <c:pt idx="7">
                  <c:v>-2.2727272727272707E-2</c:v>
                </c:pt>
                <c:pt idx="8">
                  <c:v>-3.4090909090909061E-2</c:v>
                </c:pt>
                <c:pt idx="9">
                  <c:v>-4.5454545454545414E-2</c:v>
                </c:pt>
                <c:pt idx="10">
                  <c:v>-5.6818181818181768E-2</c:v>
                </c:pt>
              </c:numCache>
            </c:numRef>
          </c:xVal>
          <c:yVal>
            <c:numRef>
              <c:f>Sweep!$AQ$33:$AQ$43</c:f>
              <c:numCache>
                <c:formatCode>0.0%</c:formatCode>
                <c:ptCount val="11"/>
                <c:pt idx="0">
                  <c:v>0.18510600017771717</c:v>
                </c:pt>
                <c:pt idx="1">
                  <c:v>0.14395123182891223</c:v>
                </c:pt>
                <c:pt idx="2">
                  <c:v>0.10513107071383332</c:v>
                </c:pt>
                <c:pt idx="3">
                  <c:v>6.8349179158583295E-2</c:v>
                </c:pt>
                <c:pt idx="4">
                  <c:v>3.3369428906154353E-2</c:v>
                </c:pt>
                <c:pt idx="5">
                  <c:v>0</c:v>
                </c:pt>
                <c:pt idx="6">
                  <c:v>-3.1917489404145183E-2</c:v>
                </c:pt>
                <c:pt idx="7">
                  <c:v>-6.2515642079223666E-2</c:v>
                </c:pt>
                <c:pt idx="8">
                  <c:v>-9.190681888339236E-2</c:v>
                </c:pt>
                <c:pt idx="9">
                  <c:v>-0.12018723166119705</c:v>
                </c:pt>
                <c:pt idx="10">
                  <c:v>-0.14744002761295383</c:v>
                </c:pt>
              </c:numCache>
            </c:numRef>
          </c:yVal>
          <c:smooth val="1"/>
        </c:ser>
        <c:axId val="138330112"/>
        <c:axId val="138331648"/>
      </c:scatterChart>
      <c:valAx>
        <c:axId val="138330112"/>
        <c:scaling>
          <c:orientation val="minMax"/>
        </c:scaling>
        <c:axPos val="b"/>
        <c:numFmt formatCode="0.0%" sourceLinked="1"/>
        <c:tickLblPos val="nextTo"/>
        <c:crossAx val="138331648"/>
        <c:crosses val="autoZero"/>
        <c:crossBetween val="midCat"/>
      </c:valAx>
      <c:valAx>
        <c:axId val="138331648"/>
        <c:scaling>
          <c:orientation val="minMax"/>
        </c:scaling>
        <c:axPos val="l"/>
        <c:majorGridlines/>
        <c:numFmt formatCode="0%" sourceLinked="1"/>
        <c:tickLblPos val="nextTo"/>
        <c:crossAx val="138330112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tx>
            <c:strRef>
              <c:f>Sweep!$AH$32</c:f>
              <c:strCache>
                <c:ptCount val="1"/>
                <c:pt idx="0">
                  <c:v>Change in catch angle (deg)</c:v>
                </c:pt>
              </c:strCache>
            </c:strRef>
          </c:tx>
          <c:marker>
            <c:symbol val="none"/>
          </c:marker>
          <c:xVal>
            <c:numRef>
              <c:f>Sweep!$AG$33:$AG$43</c:f>
              <c:numCache>
                <c:formatCode>0.0</c:formatCode>
                <c:ptCount val="11"/>
                <c:pt idx="0">
                  <c:v>93</c:v>
                </c:pt>
                <c:pt idx="1">
                  <c:v>92</c:v>
                </c:pt>
                <c:pt idx="2">
                  <c:v>91</c:v>
                </c:pt>
                <c:pt idx="3">
                  <c:v>90</c:v>
                </c:pt>
                <c:pt idx="4">
                  <c:v>89</c:v>
                </c:pt>
                <c:pt idx="5">
                  <c:v>88</c:v>
                </c:pt>
                <c:pt idx="6">
                  <c:v>87</c:v>
                </c:pt>
                <c:pt idx="7">
                  <c:v>86</c:v>
                </c:pt>
                <c:pt idx="8">
                  <c:v>85</c:v>
                </c:pt>
                <c:pt idx="9">
                  <c:v>84</c:v>
                </c:pt>
                <c:pt idx="10">
                  <c:v>83</c:v>
                </c:pt>
              </c:numCache>
            </c:numRef>
          </c:xVal>
          <c:yVal>
            <c:numRef>
              <c:f>Sweep!$AH$33:$AH$43</c:f>
              <c:numCache>
                <c:formatCode>0.0</c:formatCode>
                <c:ptCount val="11"/>
                <c:pt idx="0">
                  <c:v>6.12415759733274</c:v>
                </c:pt>
                <c:pt idx="1">
                  <c:v>4.790798829354145</c:v>
                </c:pt>
                <c:pt idx="2">
                  <c:v>3.5193273902024487</c:v>
                </c:pt>
                <c:pt idx="3">
                  <c:v>2.301299263984987</c:v>
                </c:pt>
                <c:pt idx="4">
                  <c:v>1.1300030576859967</c:v>
                </c:pt>
                <c:pt idx="5">
                  <c:v>0</c:v>
                </c:pt>
                <c:pt idx="6">
                  <c:v>-1.0931900934296266</c:v>
                </c:pt>
                <c:pt idx="7">
                  <c:v>-2.1533097873204383</c:v>
                </c:pt>
                <c:pt idx="8">
                  <c:v>-3.183523562082776</c:v>
                </c:pt>
                <c:pt idx="9">
                  <c:v>-4.1865355801599051</c:v>
                </c:pt>
                <c:pt idx="10">
                  <c:v>-5.1646783157837675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Sweep!$AI$32</c:f>
              <c:strCache>
                <c:ptCount val="1"/>
                <c:pt idx="0">
                  <c:v>Change in finish angle (deg)</c:v>
                </c:pt>
              </c:strCache>
            </c:strRef>
          </c:tx>
          <c:marker>
            <c:symbol val="none"/>
          </c:marker>
          <c:xVal>
            <c:numRef>
              <c:f>Sweep!$AG$33:$AG$43</c:f>
              <c:numCache>
                <c:formatCode>0.0</c:formatCode>
                <c:ptCount val="11"/>
                <c:pt idx="0">
                  <c:v>93</c:v>
                </c:pt>
                <c:pt idx="1">
                  <c:v>92</c:v>
                </c:pt>
                <c:pt idx="2">
                  <c:v>91</c:v>
                </c:pt>
                <c:pt idx="3">
                  <c:v>90</c:v>
                </c:pt>
                <c:pt idx="4">
                  <c:v>89</c:v>
                </c:pt>
                <c:pt idx="5">
                  <c:v>88</c:v>
                </c:pt>
                <c:pt idx="6">
                  <c:v>87</c:v>
                </c:pt>
                <c:pt idx="7">
                  <c:v>86</c:v>
                </c:pt>
                <c:pt idx="8">
                  <c:v>85</c:v>
                </c:pt>
                <c:pt idx="9">
                  <c:v>84</c:v>
                </c:pt>
                <c:pt idx="10">
                  <c:v>83</c:v>
                </c:pt>
              </c:numCache>
            </c:numRef>
          </c:xVal>
          <c:yVal>
            <c:numRef>
              <c:f>Sweep!$AI$33:$AI$43</c:f>
              <c:numCache>
                <c:formatCode>0.0</c:formatCode>
                <c:ptCount val="11"/>
                <c:pt idx="0">
                  <c:v>-6.1241575973327471</c:v>
                </c:pt>
                <c:pt idx="1">
                  <c:v>-4.7907988293541557</c:v>
                </c:pt>
                <c:pt idx="2">
                  <c:v>-3.5193273902024522</c:v>
                </c:pt>
                <c:pt idx="3">
                  <c:v>-2.301299263984987</c:v>
                </c:pt>
                <c:pt idx="4">
                  <c:v>-1.1300030576860038</c:v>
                </c:pt>
                <c:pt idx="5">
                  <c:v>0</c:v>
                </c:pt>
                <c:pt idx="6">
                  <c:v>1.093190093429623</c:v>
                </c:pt>
                <c:pt idx="7">
                  <c:v>2.1533097873204348</c:v>
                </c:pt>
                <c:pt idx="8">
                  <c:v>3.1835235620827724</c:v>
                </c:pt>
                <c:pt idx="9">
                  <c:v>4.1865355801599016</c:v>
                </c:pt>
                <c:pt idx="10">
                  <c:v>5.1646783157837639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Sweep!$AJ$32</c:f>
              <c:strCache>
                <c:ptCount val="1"/>
                <c:pt idx="0">
                  <c:v>Change in sweep angle (deg)</c:v>
                </c:pt>
              </c:strCache>
            </c:strRef>
          </c:tx>
          <c:marker>
            <c:symbol val="none"/>
          </c:marker>
          <c:xVal>
            <c:numRef>
              <c:f>Sweep!$AG$33:$AG$43</c:f>
              <c:numCache>
                <c:formatCode>0.0</c:formatCode>
                <c:ptCount val="11"/>
                <c:pt idx="0">
                  <c:v>93</c:v>
                </c:pt>
                <c:pt idx="1">
                  <c:v>92</c:v>
                </c:pt>
                <c:pt idx="2">
                  <c:v>91</c:v>
                </c:pt>
                <c:pt idx="3">
                  <c:v>90</c:v>
                </c:pt>
                <c:pt idx="4">
                  <c:v>89</c:v>
                </c:pt>
                <c:pt idx="5">
                  <c:v>88</c:v>
                </c:pt>
                <c:pt idx="6">
                  <c:v>87</c:v>
                </c:pt>
                <c:pt idx="7">
                  <c:v>86</c:v>
                </c:pt>
                <c:pt idx="8">
                  <c:v>85</c:v>
                </c:pt>
                <c:pt idx="9">
                  <c:v>84</c:v>
                </c:pt>
                <c:pt idx="10">
                  <c:v>83</c:v>
                </c:pt>
              </c:numCache>
            </c:numRef>
          </c:xVal>
          <c:yVal>
            <c:numRef>
              <c:f>Sweep!$AJ$33:$AJ$43</c:f>
              <c:numCache>
                <c:formatCode>0.0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Sweep!$AK$32</c:f>
              <c:strCache>
                <c:ptCount val="1"/>
                <c:pt idx="0">
                  <c:v>distance to move stretcher to stern (cm)</c:v>
                </c:pt>
              </c:strCache>
            </c:strRef>
          </c:tx>
          <c:marker>
            <c:symbol val="none"/>
          </c:marker>
          <c:xVal>
            <c:numRef>
              <c:f>Sweep!$AG$33:$AG$43</c:f>
              <c:numCache>
                <c:formatCode>0.0</c:formatCode>
                <c:ptCount val="11"/>
                <c:pt idx="0">
                  <c:v>93</c:v>
                </c:pt>
                <c:pt idx="1">
                  <c:v>92</c:v>
                </c:pt>
                <c:pt idx="2">
                  <c:v>91</c:v>
                </c:pt>
                <c:pt idx="3">
                  <c:v>90</c:v>
                </c:pt>
                <c:pt idx="4">
                  <c:v>89</c:v>
                </c:pt>
                <c:pt idx="5">
                  <c:v>88</c:v>
                </c:pt>
                <c:pt idx="6">
                  <c:v>87</c:v>
                </c:pt>
                <c:pt idx="7">
                  <c:v>86</c:v>
                </c:pt>
                <c:pt idx="8">
                  <c:v>85</c:v>
                </c:pt>
                <c:pt idx="9">
                  <c:v>84</c:v>
                </c:pt>
                <c:pt idx="10">
                  <c:v>83</c:v>
                </c:pt>
              </c:numCache>
            </c:numRef>
          </c:xVal>
          <c:yVal>
            <c:numRef>
              <c:f>Sweep!$AK$33:$AK$43</c:f>
              <c:numCache>
                <c:formatCode>0.0</c:formatCode>
                <c:ptCount val="11"/>
                <c:pt idx="0">
                  <c:v>11.106360010663032</c:v>
                </c:pt>
                <c:pt idx="1">
                  <c:v>8.6370739097347453</c:v>
                </c:pt>
                <c:pt idx="2">
                  <c:v>6.3078642428299929</c:v>
                </c:pt>
                <c:pt idx="3">
                  <c:v>4.1009507495149862</c:v>
                </c:pt>
                <c:pt idx="4">
                  <c:v>2.0021657343692567</c:v>
                </c:pt>
                <c:pt idx="5">
                  <c:v>0</c:v>
                </c:pt>
                <c:pt idx="6">
                  <c:v>-1.9150493642487092</c:v>
                </c:pt>
                <c:pt idx="7">
                  <c:v>-3.7509385247534226</c:v>
                </c:pt>
                <c:pt idx="8">
                  <c:v>-5.5144091330035394</c:v>
                </c:pt>
                <c:pt idx="9">
                  <c:v>-7.211233899671825</c:v>
                </c:pt>
                <c:pt idx="10">
                  <c:v>-8.8464016567772319</c:v>
                </c:pt>
              </c:numCache>
            </c:numRef>
          </c:yVal>
          <c:smooth val="1"/>
        </c:ser>
        <c:axId val="143609216"/>
        <c:axId val="143615104"/>
      </c:scatterChart>
      <c:valAx>
        <c:axId val="143609216"/>
        <c:scaling>
          <c:orientation val="minMax"/>
        </c:scaling>
        <c:axPos val="b"/>
        <c:numFmt formatCode="0.0" sourceLinked="1"/>
        <c:tickLblPos val="nextTo"/>
        <c:crossAx val="143615104"/>
        <c:crosses val="autoZero"/>
        <c:crossBetween val="midCat"/>
      </c:valAx>
      <c:valAx>
        <c:axId val="143615104"/>
        <c:scaling>
          <c:orientation val="minMax"/>
        </c:scaling>
        <c:axPos val="l"/>
        <c:majorGridlines/>
        <c:numFmt formatCode="0.0" sourceLinked="1"/>
        <c:tickLblPos val="nextTo"/>
        <c:crossAx val="143609216"/>
        <c:crosses val="autoZero"/>
        <c:crossBetween val="midCat"/>
      </c:valAx>
    </c:plotArea>
    <c:legend>
      <c:legendPos val="r"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18" Type="http://schemas.openxmlformats.org/officeDocument/2006/relationships/chart" Target="../charts/chart16.xml"/><Relationship Id="rId3" Type="http://schemas.openxmlformats.org/officeDocument/2006/relationships/chart" Target="../charts/chart2.xml"/><Relationship Id="rId21" Type="http://schemas.openxmlformats.org/officeDocument/2006/relationships/chart" Target="../charts/chart19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image" Target="../media/image2.png"/><Relationship Id="rId2" Type="http://schemas.openxmlformats.org/officeDocument/2006/relationships/chart" Target="../charts/chart1.xml"/><Relationship Id="rId16" Type="http://schemas.openxmlformats.org/officeDocument/2006/relationships/chart" Target="../charts/chart15.xml"/><Relationship Id="rId20" Type="http://schemas.openxmlformats.org/officeDocument/2006/relationships/chart" Target="../charts/chart18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5" Type="http://schemas.openxmlformats.org/officeDocument/2006/relationships/chart" Target="../charts/chart4.xml"/><Relationship Id="rId15" Type="http://schemas.openxmlformats.org/officeDocument/2006/relationships/chart" Target="../charts/chart14.xml"/><Relationship Id="rId10" Type="http://schemas.openxmlformats.org/officeDocument/2006/relationships/chart" Target="../charts/chart9.xml"/><Relationship Id="rId19" Type="http://schemas.openxmlformats.org/officeDocument/2006/relationships/chart" Target="../charts/chart17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Relationship Id="rId14" Type="http://schemas.openxmlformats.org/officeDocument/2006/relationships/chart" Target="../charts/chart13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image" Target="../media/image1.png"/><Relationship Id="rId4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304800</xdr:colOff>
      <xdr:row>44</xdr:row>
      <xdr:rowOff>0</xdr:rowOff>
    </xdr:from>
    <xdr:to>
      <xdr:col>26</xdr:col>
      <xdr:colOff>154305</xdr:colOff>
      <xdr:row>44</xdr:row>
      <xdr:rowOff>31136</xdr:rowOff>
    </xdr:to>
    <xdr:pic>
      <xdr:nvPicPr>
        <xdr:cNvPr id="6" name="pngfixband4" descr="cos C = a to the power 2 + b to the power 2 - c to the power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808200" y="8483600"/>
          <a:ext cx="1000125" cy="361950"/>
        </a:xfrm>
        <a:prstGeom prst="rect">
          <a:avLst/>
        </a:prstGeom>
        <a:noFill/>
      </xdr:spPr>
    </xdr:pic>
    <xdr:clientData/>
  </xdr:twoCellAnchor>
  <xdr:twoCellAnchor>
    <xdr:from>
      <xdr:col>20</xdr:col>
      <xdr:colOff>273050</xdr:colOff>
      <xdr:row>30</xdr:row>
      <xdr:rowOff>50800</xdr:rowOff>
    </xdr:from>
    <xdr:to>
      <xdr:col>25</xdr:col>
      <xdr:colOff>285750</xdr:colOff>
      <xdr:row>39</xdr:row>
      <xdr:rowOff>158750</xdr:rowOff>
    </xdr:to>
    <xdr:graphicFrame macro="">
      <xdr:nvGraphicFramePr>
        <xdr:cNvPr id="22" name="Chart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81641</xdr:colOff>
      <xdr:row>97</xdr:row>
      <xdr:rowOff>149679</xdr:rowOff>
    </xdr:from>
    <xdr:to>
      <xdr:col>32</xdr:col>
      <xdr:colOff>190499</xdr:colOff>
      <xdr:row>106</xdr:row>
      <xdr:rowOff>1238250</xdr:rowOff>
    </xdr:to>
    <xdr:graphicFrame macro="">
      <xdr:nvGraphicFramePr>
        <xdr:cNvPr id="36" name="Chart 3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172356</xdr:colOff>
      <xdr:row>120</xdr:row>
      <xdr:rowOff>167819</xdr:rowOff>
    </xdr:from>
    <xdr:to>
      <xdr:col>26</xdr:col>
      <xdr:colOff>190500</xdr:colOff>
      <xdr:row>133</xdr:row>
      <xdr:rowOff>111124</xdr:rowOff>
    </xdr:to>
    <xdr:graphicFrame macro="">
      <xdr:nvGraphicFramePr>
        <xdr:cNvPr id="37" name="Chart 3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492125</xdr:colOff>
      <xdr:row>121</xdr:row>
      <xdr:rowOff>285750</xdr:rowOff>
    </xdr:from>
    <xdr:to>
      <xdr:col>32</xdr:col>
      <xdr:colOff>127000</xdr:colOff>
      <xdr:row>135</xdr:row>
      <xdr:rowOff>253998</xdr:rowOff>
    </xdr:to>
    <xdr:graphicFrame macro="">
      <xdr:nvGraphicFramePr>
        <xdr:cNvPr id="38" name="Chart 3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26</xdr:col>
      <xdr:colOff>222250</xdr:colOff>
      <xdr:row>31</xdr:row>
      <xdr:rowOff>47626</xdr:rowOff>
    </xdr:from>
    <xdr:to>
      <xdr:col>31</xdr:col>
      <xdr:colOff>127000</xdr:colOff>
      <xdr:row>43</xdr:row>
      <xdr:rowOff>79375</xdr:rowOff>
    </xdr:to>
    <xdr:graphicFrame macro="">
      <xdr:nvGraphicFramePr>
        <xdr:cNvPr id="39" name="Chart 3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21</xdr:col>
      <xdr:colOff>136072</xdr:colOff>
      <xdr:row>151</xdr:row>
      <xdr:rowOff>775607</xdr:rowOff>
    </xdr:from>
    <xdr:to>
      <xdr:col>28</xdr:col>
      <xdr:colOff>381001</xdr:colOff>
      <xdr:row>161</xdr:row>
      <xdr:rowOff>95250</xdr:rowOff>
    </xdr:to>
    <xdr:graphicFrame macro="">
      <xdr:nvGraphicFramePr>
        <xdr:cNvPr id="40" name="Chart 3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20</xdr:col>
      <xdr:colOff>392340</xdr:colOff>
      <xdr:row>153</xdr:row>
      <xdr:rowOff>127000</xdr:rowOff>
    </xdr:from>
    <xdr:to>
      <xdr:col>28</xdr:col>
      <xdr:colOff>11340</xdr:colOff>
      <xdr:row>166</xdr:row>
      <xdr:rowOff>163285</xdr:rowOff>
    </xdr:to>
    <xdr:graphicFrame macro="">
      <xdr:nvGraphicFramePr>
        <xdr:cNvPr id="41" name="Chart 4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21</xdr:col>
      <xdr:colOff>244928</xdr:colOff>
      <xdr:row>180</xdr:row>
      <xdr:rowOff>122465</xdr:rowOff>
    </xdr:from>
    <xdr:to>
      <xdr:col>30</xdr:col>
      <xdr:colOff>462643</xdr:colOff>
      <xdr:row>192</xdr:row>
      <xdr:rowOff>108857</xdr:rowOff>
    </xdr:to>
    <xdr:graphicFrame macro="">
      <xdr:nvGraphicFramePr>
        <xdr:cNvPr id="42" name="Chart 4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25</xdr:col>
      <xdr:colOff>285749</xdr:colOff>
      <xdr:row>187</xdr:row>
      <xdr:rowOff>106589</xdr:rowOff>
    </xdr:from>
    <xdr:to>
      <xdr:col>35</xdr:col>
      <xdr:colOff>102052</xdr:colOff>
      <xdr:row>196</xdr:row>
      <xdr:rowOff>1483178</xdr:rowOff>
    </xdr:to>
    <xdr:graphicFrame macro="">
      <xdr:nvGraphicFramePr>
        <xdr:cNvPr id="43" name="Chart 4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25</xdr:col>
      <xdr:colOff>377825</xdr:colOff>
      <xdr:row>91</xdr:row>
      <xdr:rowOff>77107</xdr:rowOff>
    </xdr:from>
    <xdr:to>
      <xdr:col>33</xdr:col>
      <xdr:colOff>36286</xdr:colOff>
      <xdr:row>101</xdr:row>
      <xdr:rowOff>50801</xdr:rowOff>
    </xdr:to>
    <xdr:graphicFrame macro="">
      <xdr:nvGraphicFramePr>
        <xdr:cNvPr id="46" name="Chart 4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20</xdr:col>
      <xdr:colOff>104775</xdr:colOff>
      <xdr:row>60</xdr:row>
      <xdr:rowOff>184149</xdr:rowOff>
    </xdr:from>
    <xdr:to>
      <xdr:col>24</xdr:col>
      <xdr:colOff>587375</xdr:colOff>
      <xdr:row>73</xdr:row>
      <xdr:rowOff>63500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24</xdr:col>
      <xdr:colOff>625475</xdr:colOff>
      <xdr:row>61</xdr:row>
      <xdr:rowOff>276225</xdr:rowOff>
    </xdr:from>
    <xdr:to>
      <xdr:col>33</xdr:col>
      <xdr:colOff>212725</xdr:colOff>
      <xdr:row>74</xdr:row>
      <xdr:rowOff>117475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20</xdr:col>
      <xdr:colOff>444500</xdr:colOff>
      <xdr:row>210</xdr:row>
      <xdr:rowOff>31750</xdr:rowOff>
    </xdr:from>
    <xdr:to>
      <xdr:col>27</xdr:col>
      <xdr:colOff>31750</xdr:colOff>
      <xdr:row>220</xdr:row>
      <xdr:rowOff>0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25</xdr:col>
      <xdr:colOff>349250</xdr:colOff>
      <xdr:row>210</xdr:row>
      <xdr:rowOff>95251</xdr:rowOff>
    </xdr:from>
    <xdr:to>
      <xdr:col>32</xdr:col>
      <xdr:colOff>47625</xdr:colOff>
      <xdr:row>223</xdr:row>
      <xdr:rowOff>174626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28</xdr:col>
      <xdr:colOff>206375</xdr:colOff>
      <xdr:row>216</xdr:row>
      <xdr:rowOff>95251</xdr:rowOff>
    </xdr:from>
    <xdr:to>
      <xdr:col>35</xdr:col>
      <xdr:colOff>508000</xdr:colOff>
      <xdr:row>227</xdr:row>
      <xdr:rowOff>158751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38</xdr:col>
      <xdr:colOff>63500</xdr:colOff>
      <xdr:row>226</xdr:row>
      <xdr:rowOff>476250</xdr:rowOff>
    </xdr:from>
    <xdr:to>
      <xdr:col>45</xdr:col>
      <xdr:colOff>369334</xdr:colOff>
      <xdr:row>226</xdr:row>
      <xdr:rowOff>490153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24304625" y="73072625"/>
          <a:ext cx="4608975" cy="3767655"/>
        </a:xfrm>
        <a:prstGeom prst="rect">
          <a:avLst/>
        </a:prstGeom>
      </xdr:spPr>
    </xdr:pic>
    <xdr:clientData/>
  </xdr:twoCellAnchor>
  <xdr:twoCellAnchor>
    <xdr:from>
      <xdr:col>23</xdr:col>
      <xdr:colOff>539750</xdr:colOff>
      <xdr:row>240</xdr:row>
      <xdr:rowOff>127001</xdr:rowOff>
    </xdr:from>
    <xdr:to>
      <xdr:col>31</xdr:col>
      <xdr:colOff>476250</xdr:colOff>
      <xdr:row>252</xdr:row>
      <xdr:rowOff>95251</xdr:rowOff>
    </xdr:to>
    <xdr:graphicFrame macro="">
      <xdr:nvGraphicFramePr>
        <xdr:cNvPr id="26" name="Chart 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28</xdr:col>
      <xdr:colOff>365124</xdr:colOff>
      <xdr:row>253</xdr:row>
      <xdr:rowOff>142874</xdr:rowOff>
    </xdr:from>
    <xdr:to>
      <xdr:col>35</xdr:col>
      <xdr:colOff>206374</xdr:colOff>
      <xdr:row>264</xdr:row>
      <xdr:rowOff>127000</xdr:rowOff>
    </xdr:to>
    <xdr:graphicFrame macro="">
      <xdr:nvGraphicFramePr>
        <xdr:cNvPr id="27" name="Chart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37</xdr:col>
      <xdr:colOff>126999</xdr:colOff>
      <xdr:row>284</xdr:row>
      <xdr:rowOff>126999</xdr:rowOff>
    </xdr:from>
    <xdr:to>
      <xdr:col>43</xdr:col>
      <xdr:colOff>523874</xdr:colOff>
      <xdr:row>293</xdr:row>
      <xdr:rowOff>79375</xdr:rowOff>
    </xdr:to>
    <xdr:graphicFrame macro="">
      <xdr:nvGraphicFramePr>
        <xdr:cNvPr id="29" name="Chart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22</xdr:col>
      <xdr:colOff>476251</xdr:colOff>
      <xdr:row>268</xdr:row>
      <xdr:rowOff>174626</xdr:rowOff>
    </xdr:from>
    <xdr:to>
      <xdr:col>30</xdr:col>
      <xdr:colOff>190500</xdr:colOff>
      <xdr:row>282</xdr:row>
      <xdr:rowOff>15876</xdr:rowOff>
    </xdr:to>
    <xdr:graphicFrame macro="">
      <xdr:nvGraphicFramePr>
        <xdr:cNvPr id="30" name="Chart 2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304800</xdr:colOff>
      <xdr:row>61</xdr:row>
      <xdr:rowOff>0</xdr:rowOff>
    </xdr:from>
    <xdr:to>
      <xdr:col>26</xdr:col>
      <xdr:colOff>85725</xdr:colOff>
      <xdr:row>62</xdr:row>
      <xdr:rowOff>171450</xdr:rowOff>
    </xdr:to>
    <xdr:pic>
      <xdr:nvPicPr>
        <xdr:cNvPr id="2" name="pngfixband4" descr="cos C = a to the power 2 + b to the power 2 - c to the power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782925" y="17106900"/>
          <a:ext cx="1000125" cy="361950"/>
        </a:xfrm>
        <a:prstGeom prst="rect">
          <a:avLst/>
        </a:prstGeom>
        <a:noFill/>
      </xdr:spPr>
    </xdr:pic>
    <xdr:clientData/>
  </xdr:twoCellAnchor>
  <xdr:twoCellAnchor>
    <xdr:from>
      <xdr:col>22</xdr:col>
      <xdr:colOff>15875</xdr:colOff>
      <xdr:row>31</xdr:row>
      <xdr:rowOff>127000</xdr:rowOff>
    </xdr:from>
    <xdr:to>
      <xdr:col>27</xdr:col>
      <xdr:colOff>349250</xdr:colOff>
      <xdr:row>40</xdr:row>
      <xdr:rowOff>174625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111125</xdr:colOff>
      <xdr:row>31</xdr:row>
      <xdr:rowOff>190500</xdr:rowOff>
    </xdr:from>
    <xdr:to>
      <xdr:col>28</xdr:col>
      <xdr:colOff>460375</xdr:colOff>
      <xdr:row>38</xdr:row>
      <xdr:rowOff>79375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24</xdr:col>
      <xdr:colOff>304800</xdr:colOff>
      <xdr:row>44</xdr:row>
      <xdr:rowOff>0</xdr:rowOff>
    </xdr:from>
    <xdr:to>
      <xdr:col>26</xdr:col>
      <xdr:colOff>85725</xdr:colOff>
      <xdr:row>45</xdr:row>
      <xdr:rowOff>171450</xdr:rowOff>
    </xdr:to>
    <xdr:pic>
      <xdr:nvPicPr>
        <xdr:cNvPr id="22" name="pngfixband4" descr="cos C = a to the power 2 + b to the power 2 - c to the power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782925" y="17106900"/>
          <a:ext cx="1000125" cy="361950"/>
        </a:xfrm>
        <a:prstGeom prst="rect">
          <a:avLst/>
        </a:prstGeom>
        <a:noFill/>
      </xdr:spPr>
    </xdr:pic>
    <xdr:clientData/>
  </xdr:twoCellAnchor>
  <xdr:twoCellAnchor>
    <xdr:from>
      <xdr:col>33</xdr:col>
      <xdr:colOff>206375</xdr:colOff>
      <xdr:row>14</xdr:row>
      <xdr:rowOff>1539875</xdr:rowOff>
    </xdr:from>
    <xdr:to>
      <xdr:col>42</xdr:col>
      <xdr:colOff>428625</xdr:colOff>
      <xdr:row>37</xdr:row>
      <xdr:rowOff>79375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AS299"/>
  <sheetViews>
    <sheetView tabSelected="1" topLeftCell="A264" zoomScale="60" zoomScaleNormal="60" workbookViewId="0">
      <selection activeCell="AI294" sqref="AI294"/>
    </sheetView>
  </sheetViews>
  <sheetFormatPr defaultRowHeight="15"/>
  <cols>
    <col min="1" max="1" width="4" customWidth="1"/>
    <col min="2" max="2" width="10" customWidth="1"/>
    <col min="3" max="3" width="10.5703125" customWidth="1"/>
    <col min="4" max="4" width="9.85546875" customWidth="1"/>
    <col min="5" max="6" width="10" customWidth="1"/>
    <col min="7" max="7" width="9.5703125" customWidth="1"/>
    <col min="8" max="8" width="10.140625" customWidth="1"/>
    <col min="9" max="9" width="9" customWidth="1"/>
    <col min="10" max="10" width="8.85546875" customWidth="1"/>
    <col min="11" max="12" width="11" customWidth="1"/>
    <col min="13" max="13" width="11.7109375" customWidth="1"/>
    <col min="14" max="19" width="10" customWidth="1"/>
    <col min="20" max="21" width="9.28515625" customWidth="1"/>
    <col min="22" max="22" width="8" customWidth="1"/>
    <col min="23" max="25" width="10.42578125" customWidth="1"/>
    <col min="26" max="26" width="7.85546875" customWidth="1"/>
    <col min="27" max="27" width="9.5703125" customWidth="1"/>
    <col min="28" max="28" width="8.28515625" customWidth="1"/>
    <col min="29" max="29" width="11" customWidth="1"/>
    <col min="30" max="30" width="8.85546875" customWidth="1"/>
    <col min="31" max="31" width="9.28515625" customWidth="1"/>
    <col min="32" max="32" width="7.85546875" customWidth="1"/>
    <col min="43" max="43" width="10.5703125" customWidth="1"/>
  </cols>
  <sheetData>
    <row r="1" spans="1:37" ht="21">
      <c r="A1" s="17" t="s">
        <v>23</v>
      </c>
    </row>
    <row r="2" spans="1:37" ht="24.75" customHeight="1">
      <c r="A2" s="15" t="s">
        <v>10</v>
      </c>
    </row>
    <row r="3" spans="1:37" s="85" customFormat="1" ht="36" customHeight="1">
      <c r="B3" s="85" t="s">
        <v>44</v>
      </c>
    </row>
    <row r="4" spans="1:37" s="25" customFormat="1" ht="135.75" customHeight="1">
      <c r="B4" s="24" t="s">
        <v>7</v>
      </c>
      <c r="C4" s="24" t="s">
        <v>3</v>
      </c>
      <c r="D4" s="24" t="s">
        <v>4</v>
      </c>
      <c r="E4" s="24" t="s">
        <v>82</v>
      </c>
      <c r="F4" s="24" t="s">
        <v>81</v>
      </c>
      <c r="G4" s="24" t="s">
        <v>0</v>
      </c>
      <c r="H4" s="24" t="s">
        <v>1</v>
      </c>
      <c r="J4" s="24" t="s">
        <v>13</v>
      </c>
    </row>
    <row r="5" spans="1:37" ht="30.75" customHeight="1">
      <c r="B5" s="1">
        <v>25</v>
      </c>
      <c r="C5" s="1">
        <v>88</v>
      </c>
      <c r="D5" s="1">
        <v>160</v>
      </c>
      <c r="E5" s="2">
        <f>(D5-B5)/2</f>
        <v>67.5</v>
      </c>
      <c r="F5" s="2">
        <f>C5+2</f>
        <v>90</v>
      </c>
      <c r="G5" s="4">
        <f>ACOS(E5/F5)</f>
        <v>0.72273424781341555</v>
      </c>
      <c r="H5" s="3">
        <f>DEGREES(G5)</f>
        <v>41.409622109270856</v>
      </c>
      <c r="J5" s="3">
        <f>E5*TAN(G5)</f>
        <v>59.529404498953284</v>
      </c>
      <c r="K5">
        <f>(D5-B5)/2*TAN(ACOS((D5-E5)/2/(C5+2)))</f>
        <v>112.68064386497868</v>
      </c>
    </row>
    <row r="6" spans="1:37" ht="30.75" customHeight="1"/>
    <row r="7" spans="1:37" ht="30.75" customHeight="1">
      <c r="B7" t="s">
        <v>11</v>
      </c>
    </row>
    <row r="8" spans="1:37" ht="30.75" customHeight="1">
      <c r="B8" t="s">
        <v>45</v>
      </c>
    </row>
    <row r="9" spans="1:37" ht="30.75" customHeight="1">
      <c r="K9" t="s">
        <v>2</v>
      </c>
    </row>
    <row r="10" spans="1:37" ht="30.75" customHeight="1">
      <c r="G10" s="239" t="s">
        <v>14</v>
      </c>
      <c r="H10" s="239"/>
      <c r="I10" s="239"/>
      <c r="K10" s="47" t="s">
        <v>51</v>
      </c>
      <c r="L10" s="47"/>
      <c r="M10" s="47"/>
      <c r="N10" s="47"/>
      <c r="O10" s="47"/>
    </row>
    <row r="11" spans="1:37" s="25" customFormat="1" ht="86.25" customHeight="1">
      <c r="B11" s="24" t="s">
        <v>12</v>
      </c>
      <c r="C11" s="24" t="s">
        <v>8</v>
      </c>
      <c r="D11" s="24" t="s">
        <v>3</v>
      </c>
      <c r="E11" s="24" t="s">
        <v>6</v>
      </c>
      <c r="F11" s="24" t="s">
        <v>5</v>
      </c>
      <c r="G11" s="50" t="s">
        <v>16</v>
      </c>
      <c r="H11" s="50" t="s">
        <v>17</v>
      </c>
      <c r="T11" s="26"/>
    </row>
    <row r="12" spans="1:37">
      <c r="B12" s="1">
        <v>200</v>
      </c>
      <c r="C12" s="4">
        <f>100*(0.297865*B12/100+1.08387)</f>
        <v>167.95999999999998</v>
      </c>
      <c r="D12" s="2">
        <f>C5</f>
        <v>88</v>
      </c>
      <c r="E12" s="3">
        <f>DEGREES(C12/(D12-6+2))</f>
        <v>114.5642753216346</v>
      </c>
      <c r="F12" s="3">
        <f>E12-H5</f>
        <v>73.154653212363741</v>
      </c>
      <c r="G12" s="3">
        <f>(D12+2)*(SIN(RADIANS(F12)))</f>
        <v>86.138139896453126</v>
      </c>
      <c r="H12" s="3">
        <f>(D12+2)*COS(RADIANS(F12))</f>
        <v>26.081043981770939</v>
      </c>
      <c r="M12" s="5" t="s">
        <v>75</v>
      </c>
    </row>
    <row r="13" spans="1:37" ht="17.25" customHeight="1">
      <c r="B13" s="5" t="s">
        <v>148</v>
      </c>
      <c r="C13" s="8"/>
      <c r="D13" s="6"/>
      <c r="E13" s="6"/>
      <c r="F13" s="7"/>
    </row>
    <row r="14" spans="1:37" s="59" customFormat="1" ht="54" customHeight="1">
      <c r="B14" s="236" t="s">
        <v>55</v>
      </c>
      <c r="C14" s="249"/>
      <c r="D14" s="249"/>
      <c r="E14" s="249"/>
      <c r="F14" s="237"/>
      <c r="G14" s="236" t="s">
        <v>147</v>
      </c>
      <c r="H14" s="249"/>
      <c r="I14" s="249"/>
      <c r="J14" s="237"/>
      <c r="K14" s="236" t="s">
        <v>139</v>
      </c>
      <c r="L14" s="249"/>
      <c r="M14" s="237"/>
      <c r="N14" s="236" t="s">
        <v>90</v>
      </c>
      <c r="O14" s="249"/>
      <c r="P14" s="237"/>
      <c r="Q14" s="236" t="s">
        <v>89</v>
      </c>
      <c r="R14" s="249"/>
      <c r="S14" s="237"/>
      <c r="T14" s="85"/>
      <c r="U14" s="85"/>
      <c r="V14" s="85"/>
      <c r="W14" s="85"/>
      <c r="X14" s="85"/>
      <c r="Y14" s="85"/>
      <c r="Z14" s="85"/>
      <c r="AA14" s="85"/>
      <c r="AB14" s="85"/>
      <c r="AE14" s="59" t="s">
        <v>150</v>
      </c>
      <c r="AI14" s="59" t="s">
        <v>104</v>
      </c>
    </row>
    <row r="15" spans="1:37" s="59" customFormat="1" ht="138">
      <c r="B15" s="65" t="s">
        <v>63</v>
      </c>
      <c r="C15" s="186" t="s">
        <v>56</v>
      </c>
      <c r="D15" s="189" t="s">
        <v>62</v>
      </c>
      <c r="E15" s="191" t="s">
        <v>60</v>
      </c>
      <c r="F15" s="193" t="s">
        <v>59</v>
      </c>
      <c r="G15" s="186" t="s">
        <v>84</v>
      </c>
      <c r="H15" s="189" t="s">
        <v>149</v>
      </c>
      <c r="I15" s="191" t="s">
        <v>151</v>
      </c>
      <c r="J15" s="193" t="s">
        <v>96</v>
      </c>
      <c r="K15" s="188" t="s">
        <v>67</v>
      </c>
      <c r="L15" s="195" t="s">
        <v>66</v>
      </c>
      <c r="M15" s="66" t="s">
        <v>68</v>
      </c>
      <c r="N15" s="188" t="s">
        <v>72</v>
      </c>
      <c r="O15" s="195" t="s">
        <v>73</v>
      </c>
      <c r="P15" s="66" t="s">
        <v>74</v>
      </c>
      <c r="Q15" s="188" t="s">
        <v>72</v>
      </c>
      <c r="R15" s="195" t="s">
        <v>73</v>
      </c>
      <c r="S15" s="66" t="s">
        <v>74</v>
      </c>
      <c r="T15" s="241" t="s">
        <v>98</v>
      </c>
      <c r="U15" s="242"/>
      <c r="V15" s="242"/>
      <c r="W15" s="242"/>
      <c r="X15" s="242"/>
      <c r="Y15" s="242"/>
      <c r="Z15" s="242"/>
      <c r="AA15" s="243"/>
      <c r="AB15" s="25"/>
      <c r="AE15" s="179" t="s">
        <v>72</v>
      </c>
      <c r="AF15" s="117" t="s">
        <v>73</v>
      </c>
      <c r="AG15" s="75" t="s">
        <v>74</v>
      </c>
      <c r="AI15" s="179" t="s">
        <v>72</v>
      </c>
      <c r="AJ15" s="117" t="s">
        <v>73</v>
      </c>
      <c r="AK15" s="75" t="s">
        <v>74</v>
      </c>
    </row>
    <row r="16" spans="1:37" s="59" customFormat="1" ht="48" customHeight="1">
      <c r="B16" s="184">
        <v>1</v>
      </c>
      <c r="C16" s="187" t="s">
        <v>156</v>
      </c>
      <c r="D16" s="190" t="s">
        <v>58</v>
      </c>
      <c r="E16" s="192" t="s">
        <v>61</v>
      </c>
      <c r="F16" s="194" t="s">
        <v>58</v>
      </c>
      <c r="G16" s="196">
        <f>F39-F38</f>
        <v>-1</v>
      </c>
      <c r="H16" s="197">
        <f>E39-E38</f>
        <v>0</v>
      </c>
      <c r="I16" s="198">
        <f>Q39</f>
        <v>-0.51792986877938318</v>
      </c>
      <c r="J16" s="199">
        <f>T39</f>
        <v>0</v>
      </c>
      <c r="K16" s="200" t="s">
        <v>142</v>
      </c>
      <c r="L16" s="201" t="s">
        <v>70</v>
      </c>
      <c r="M16" s="202" t="s">
        <v>141</v>
      </c>
      <c r="N16" s="203">
        <f>M39</f>
        <v>-0.45830173500363003</v>
      </c>
      <c r="O16" s="204">
        <f>N39</f>
        <v>0.45830173500361582</v>
      </c>
      <c r="P16" s="205">
        <f>O39</f>
        <v>0</v>
      </c>
      <c r="Q16" s="203">
        <f>AC54</f>
        <v>-0.46560478928830662</v>
      </c>
      <c r="R16" s="204">
        <f>I54</f>
        <v>0.45830173500361582</v>
      </c>
      <c r="S16" s="205">
        <f>AE54</f>
        <v>-7.303054284690802E-3</v>
      </c>
      <c r="T16" s="244" t="s">
        <v>167</v>
      </c>
      <c r="U16" s="245"/>
      <c r="V16" s="245"/>
      <c r="W16" s="245"/>
      <c r="X16" s="245"/>
      <c r="Y16" s="245"/>
      <c r="Z16" s="245"/>
      <c r="AA16" s="246"/>
      <c r="AB16" s="247" t="s">
        <v>92</v>
      </c>
      <c r="AC16" s="247"/>
      <c r="AE16" s="232">
        <f t="shared" ref="AE16:AE24" si="0">Q16*10</f>
        <v>-4.6560478928830662</v>
      </c>
      <c r="AF16" s="232">
        <f t="shared" ref="AF16:AF24" si="1">R16*10</f>
        <v>4.5830173500361582</v>
      </c>
      <c r="AG16" s="232">
        <f t="shared" ref="AG16:AG24" si="2">S16*10</f>
        <v>-7.303054284690802E-2</v>
      </c>
      <c r="AI16" s="180">
        <f>(Q16-N16)/N16</f>
        <v>1.5935035211286613E-2</v>
      </c>
      <c r="AJ16" s="181">
        <f>(R16-O16)/O16</f>
        <v>0</v>
      </c>
      <c r="AK16" s="181" t="e">
        <f>(S16-P16)/P16</f>
        <v>#DIV/0!</v>
      </c>
    </row>
    <row r="17" spans="1:43" s="59" customFormat="1" ht="48" customHeight="1">
      <c r="B17" s="184">
        <v>2</v>
      </c>
      <c r="C17" s="187" t="s">
        <v>156</v>
      </c>
      <c r="D17" s="190" t="s">
        <v>58</v>
      </c>
      <c r="E17" s="192" t="s">
        <v>58</v>
      </c>
      <c r="F17" s="194" t="s">
        <v>65</v>
      </c>
      <c r="G17" s="196">
        <f>F69-F68</f>
        <v>-1</v>
      </c>
      <c r="H17" s="197">
        <f>E69-E68</f>
        <v>0</v>
      </c>
      <c r="I17" s="198">
        <f>Q69</f>
        <v>0</v>
      </c>
      <c r="J17" s="199">
        <f>T69</f>
        <v>-1.0000000000000284</v>
      </c>
      <c r="K17" s="200" t="s">
        <v>143</v>
      </c>
      <c r="L17" s="201" t="s">
        <v>71</v>
      </c>
      <c r="M17" s="202" t="s">
        <v>143</v>
      </c>
      <c r="N17" s="203">
        <f>M69</f>
        <v>0</v>
      </c>
      <c r="O17" s="204">
        <f t="shared" ref="O17:P17" si="3">N69</f>
        <v>0</v>
      </c>
      <c r="P17" s="205">
        <f t="shared" si="3"/>
        <v>0</v>
      </c>
      <c r="Q17" s="203">
        <f>AC84</f>
        <v>0.15782154233943402</v>
      </c>
      <c r="R17" s="204">
        <f>I84</f>
        <v>0</v>
      </c>
      <c r="S17" s="206">
        <f>AE84</f>
        <v>0.15782154233941981</v>
      </c>
      <c r="T17" s="244" t="s">
        <v>158</v>
      </c>
      <c r="U17" s="245"/>
      <c r="V17" s="245"/>
      <c r="W17" s="245"/>
      <c r="X17" s="245"/>
      <c r="Y17" s="245"/>
      <c r="Z17" s="245"/>
      <c r="AA17" s="246"/>
      <c r="AB17" s="238" t="s">
        <v>93</v>
      </c>
      <c r="AC17" s="238"/>
      <c r="AE17" s="232">
        <f t="shared" si="0"/>
        <v>1.5782154233943402</v>
      </c>
      <c r="AF17" s="232">
        <f t="shared" si="1"/>
        <v>0</v>
      </c>
      <c r="AG17" s="232">
        <f t="shared" si="2"/>
        <v>1.5782154233941981</v>
      </c>
      <c r="AI17" s="180"/>
      <c r="AJ17" s="181"/>
      <c r="AK17" s="182"/>
    </row>
    <row r="18" spans="1:43" s="59" customFormat="1" ht="48" customHeight="1">
      <c r="B18" s="184">
        <v>3</v>
      </c>
      <c r="C18" s="187" t="s">
        <v>156</v>
      </c>
      <c r="D18" s="190" t="s">
        <v>64</v>
      </c>
      <c r="E18" s="192" t="s">
        <v>61</v>
      </c>
      <c r="F18" s="194" t="s">
        <v>58</v>
      </c>
      <c r="G18" s="196">
        <f>F99-F98</f>
        <v>-1</v>
      </c>
      <c r="H18" s="197">
        <f>E99-E98</f>
        <v>-0.5</v>
      </c>
      <c r="I18" s="198">
        <f>Q99</f>
        <v>0.20112975998936378</v>
      </c>
      <c r="J18" s="199">
        <f>T99</f>
        <v>0</v>
      </c>
      <c r="K18" s="200" t="s">
        <v>145</v>
      </c>
      <c r="L18" s="201" t="s">
        <v>141</v>
      </c>
      <c r="M18" s="202" t="s">
        <v>145</v>
      </c>
      <c r="N18" s="203">
        <f>M99</f>
        <v>0.51904716120021988</v>
      </c>
      <c r="O18" s="204">
        <f>N99</f>
        <v>0.12840037327065801</v>
      </c>
      <c r="P18" s="205">
        <f>O99</f>
        <v>0.64744753447087078</v>
      </c>
      <c r="Q18" s="203">
        <f>AC114</f>
        <v>0.64576162461116837</v>
      </c>
      <c r="R18" s="204">
        <f>I114</f>
        <v>0.12840037327065801</v>
      </c>
      <c r="S18" s="205">
        <f>AE114</f>
        <v>0.77416199788180506</v>
      </c>
      <c r="T18" s="244" t="s">
        <v>168</v>
      </c>
      <c r="U18" s="245"/>
      <c r="V18" s="245"/>
      <c r="W18" s="245"/>
      <c r="X18" s="245"/>
      <c r="Y18" s="245"/>
      <c r="Z18" s="245"/>
      <c r="AA18" s="246"/>
      <c r="AB18" s="248" t="s">
        <v>94</v>
      </c>
      <c r="AC18" s="248"/>
      <c r="AE18" s="183">
        <f t="shared" si="0"/>
        <v>6.4576162461116837</v>
      </c>
      <c r="AF18" s="183">
        <f t="shared" si="1"/>
        <v>1.2840037327065801</v>
      </c>
      <c r="AG18" s="183">
        <f t="shared" si="2"/>
        <v>7.7416199788180506</v>
      </c>
      <c r="AI18" s="180">
        <f t="shared" ref="AI18:AK21" si="4">(Q18-N18)/N18</f>
        <v>0.24412899806241117</v>
      </c>
      <c r="AJ18" s="181">
        <f t="shared" si="4"/>
        <v>0</v>
      </c>
      <c r="AK18" s="182">
        <f t="shared" si="4"/>
        <v>0.1957138712629313</v>
      </c>
    </row>
    <row r="19" spans="1:43" s="59" customFormat="1" ht="48" customHeight="1">
      <c r="B19" s="184">
        <v>4</v>
      </c>
      <c r="C19" s="187" t="s">
        <v>156</v>
      </c>
      <c r="D19" s="190" t="s">
        <v>64</v>
      </c>
      <c r="E19" s="192" t="s">
        <v>58</v>
      </c>
      <c r="F19" s="194" t="s">
        <v>65</v>
      </c>
      <c r="G19" s="196">
        <f>F99-F98</f>
        <v>-1</v>
      </c>
      <c r="H19" s="197">
        <f>E129-E128</f>
        <v>-0.5</v>
      </c>
      <c r="I19" s="198">
        <f>Q129</f>
        <v>0</v>
      </c>
      <c r="J19" s="199">
        <f>T129</f>
        <v>0.38818094747276177</v>
      </c>
      <c r="K19" s="200" t="s">
        <v>143</v>
      </c>
      <c r="L19" s="207" t="s">
        <v>141</v>
      </c>
      <c r="M19" s="202" t="s">
        <v>143</v>
      </c>
      <c r="N19" s="203">
        <f>M129</f>
        <v>0.35799714107162117</v>
      </c>
      <c r="O19" s="204">
        <f>N129</f>
        <v>0.30733435321253921</v>
      </c>
      <c r="P19" s="205">
        <f t="shared" ref="P19" si="5">O129</f>
        <v>0.66533149428414617</v>
      </c>
      <c r="Q19" s="208">
        <f>AC144</f>
        <v>0.51351026139570877</v>
      </c>
      <c r="R19" s="209">
        <f>I144</f>
        <v>0.30733435321251079</v>
      </c>
      <c r="S19" s="210">
        <f>AE144</f>
        <v>0.82084461460821956</v>
      </c>
      <c r="T19" s="244" t="s">
        <v>159</v>
      </c>
      <c r="U19" s="245"/>
      <c r="V19" s="245"/>
      <c r="W19" s="245"/>
      <c r="X19" s="245"/>
      <c r="Y19" s="245"/>
      <c r="Z19" s="245"/>
      <c r="AA19" s="246"/>
      <c r="AB19" s="238" t="s">
        <v>109</v>
      </c>
      <c r="AC19" s="238"/>
      <c r="AE19" s="183">
        <f t="shared" si="0"/>
        <v>5.1351026139570877</v>
      </c>
      <c r="AF19" s="183">
        <f t="shared" si="1"/>
        <v>3.0733435321251079</v>
      </c>
      <c r="AG19" s="183">
        <f t="shared" si="2"/>
        <v>8.2084461460821956</v>
      </c>
      <c r="AI19" s="180">
        <f t="shared" si="4"/>
        <v>0.43439765987677403</v>
      </c>
      <c r="AJ19" s="181">
        <f t="shared" si="4"/>
        <v>-9.2478140283747507E-14</v>
      </c>
      <c r="AK19" s="182">
        <f t="shared" si="4"/>
        <v>0.23373780087082077</v>
      </c>
    </row>
    <row r="20" spans="1:43" s="59" customFormat="1" ht="48" customHeight="1">
      <c r="B20" s="184">
        <v>5</v>
      </c>
      <c r="C20" s="187" t="s">
        <v>58</v>
      </c>
      <c r="D20" s="190" t="s">
        <v>156</v>
      </c>
      <c r="E20" s="192" t="s">
        <v>61</v>
      </c>
      <c r="F20" s="194" t="s">
        <v>58</v>
      </c>
      <c r="G20" s="196">
        <f>F159-F158</f>
        <v>0</v>
      </c>
      <c r="H20" s="197">
        <f>E159-E158</f>
        <v>-0.5</v>
      </c>
      <c r="I20" s="198">
        <f>Q159</f>
        <v>0.72511258057934214</v>
      </c>
      <c r="J20" s="199">
        <f>T159</f>
        <v>0</v>
      </c>
      <c r="K20" s="200" t="s">
        <v>146</v>
      </c>
      <c r="L20" s="201" t="s">
        <v>144</v>
      </c>
      <c r="M20" s="202" t="s">
        <v>143</v>
      </c>
      <c r="N20" s="203">
        <f>M159</f>
        <v>1.000588886594926</v>
      </c>
      <c r="O20" s="204">
        <f>N159</f>
        <v>-0.33525739231079399</v>
      </c>
      <c r="P20" s="205">
        <f t="shared" ref="P20" si="6">O159</f>
        <v>0.66533149428414617</v>
      </c>
      <c r="Q20" s="208">
        <f>AC174</f>
        <v>0.98854647247328842</v>
      </c>
      <c r="R20" s="209">
        <f>K174</f>
        <v>-0.33525739231079399</v>
      </c>
      <c r="S20" s="210">
        <f>AE174</f>
        <v>0.65328908016248022</v>
      </c>
      <c r="T20" s="244" t="s">
        <v>169</v>
      </c>
      <c r="U20" s="245"/>
      <c r="V20" s="245"/>
      <c r="W20" s="245"/>
      <c r="X20" s="245"/>
      <c r="Y20" s="245"/>
      <c r="Z20" s="245"/>
      <c r="AA20" s="246"/>
      <c r="AB20" s="238" t="s">
        <v>165</v>
      </c>
      <c r="AC20" s="238"/>
      <c r="AE20" s="183">
        <f t="shared" si="0"/>
        <v>9.8854647247328842</v>
      </c>
      <c r="AF20" s="183">
        <f t="shared" si="1"/>
        <v>-3.3525739231079399</v>
      </c>
      <c r="AG20" s="183">
        <f t="shared" si="2"/>
        <v>6.5328908016248022</v>
      </c>
      <c r="AI20" s="180">
        <f t="shared" si="4"/>
        <v>-1.2035326679090663E-2</v>
      </c>
      <c r="AJ20" s="181">
        <f t="shared" si="4"/>
        <v>0</v>
      </c>
      <c r="AK20" s="182">
        <f t="shared" si="4"/>
        <v>-1.8099870854036179E-2</v>
      </c>
    </row>
    <row r="21" spans="1:43" s="59" customFormat="1" ht="48" customHeight="1">
      <c r="B21" s="184">
        <v>6</v>
      </c>
      <c r="C21" s="187" t="s">
        <v>58</v>
      </c>
      <c r="D21" s="190" t="s">
        <v>156</v>
      </c>
      <c r="E21" s="192" t="s">
        <v>58</v>
      </c>
      <c r="F21" s="194" t="s">
        <v>65</v>
      </c>
      <c r="G21" s="196">
        <f>F189-F188</f>
        <v>0</v>
      </c>
      <c r="H21" s="197">
        <f>E189-E188</f>
        <v>-1</v>
      </c>
      <c r="I21" s="198">
        <f>Q189</f>
        <v>0</v>
      </c>
      <c r="J21" s="199">
        <f>T189</f>
        <v>2.7836488496859744</v>
      </c>
      <c r="K21" s="200" t="s">
        <v>143</v>
      </c>
      <c r="L21" s="201" t="s">
        <v>143</v>
      </c>
      <c r="M21" s="202" t="s">
        <v>143</v>
      </c>
      <c r="N21" s="203">
        <f>M189</f>
        <v>0.71892566746622322</v>
      </c>
      <c r="O21" s="204">
        <f>N189</f>
        <v>0.61975336320188745</v>
      </c>
      <c r="P21" s="205">
        <f t="shared" ref="P21" si="7">O189</f>
        <v>1.3386790306681036</v>
      </c>
      <c r="Q21" s="208">
        <f>AC204</f>
        <v>0.69644469766080874</v>
      </c>
      <c r="R21" s="209">
        <f>I204</f>
        <v>0.61975336320186614</v>
      </c>
      <c r="S21" s="210">
        <f>AE204</f>
        <v>1.3161980608626749</v>
      </c>
      <c r="T21" s="244" t="s">
        <v>160</v>
      </c>
      <c r="U21" s="245"/>
      <c r="V21" s="245"/>
      <c r="W21" s="245"/>
      <c r="X21" s="245"/>
      <c r="Y21" s="245"/>
      <c r="Z21" s="245"/>
      <c r="AA21" s="246"/>
      <c r="AB21" s="240" t="s">
        <v>163</v>
      </c>
      <c r="AC21" s="240"/>
      <c r="AE21" s="232">
        <f t="shared" si="0"/>
        <v>6.9644469766080874</v>
      </c>
      <c r="AF21" s="232">
        <f t="shared" si="1"/>
        <v>6.1975336320186614</v>
      </c>
      <c r="AG21" s="232">
        <f t="shared" si="2"/>
        <v>13.161980608626749</v>
      </c>
      <c r="AI21" s="180">
        <f t="shared" si="4"/>
        <v>-3.1270228373743075E-2</v>
      </c>
      <c r="AJ21" s="181">
        <f t="shared" si="4"/>
        <v>-3.439478240614102E-14</v>
      </c>
      <c r="AK21" s="182">
        <f t="shared" si="4"/>
        <v>-1.6793398036726515E-2</v>
      </c>
    </row>
    <row r="22" spans="1:43" s="59" customFormat="1" ht="48" customHeight="1">
      <c r="B22" s="184">
        <v>7</v>
      </c>
      <c r="C22" s="196" t="s">
        <v>58</v>
      </c>
      <c r="D22" s="211" t="s">
        <v>58</v>
      </c>
      <c r="E22" s="192" t="s">
        <v>157</v>
      </c>
      <c r="F22" s="194" t="s">
        <v>65</v>
      </c>
      <c r="G22" s="196">
        <f>F219-F218</f>
        <v>0</v>
      </c>
      <c r="H22" s="197">
        <f>E219-E218</f>
        <v>0</v>
      </c>
      <c r="I22" s="198">
        <f>Q219</f>
        <v>1</v>
      </c>
      <c r="J22" s="199">
        <f>T219</f>
        <v>1.9453084964066818</v>
      </c>
      <c r="K22" s="212" t="s">
        <v>143</v>
      </c>
      <c r="L22" s="213" t="s">
        <v>142</v>
      </c>
      <c r="M22" s="214" t="s">
        <v>140</v>
      </c>
      <c r="N22" s="203">
        <f>M217</f>
        <v>0.87510749203696037</v>
      </c>
      <c r="O22" s="204">
        <f>N217</f>
        <v>-0.87510749203697458</v>
      </c>
      <c r="P22" s="205">
        <f>O217</f>
        <v>0</v>
      </c>
      <c r="Q22" s="208">
        <f>AC232</f>
        <v>0.81642300389879097</v>
      </c>
      <c r="R22" s="209">
        <f>K232</f>
        <v>-0.87510749203698168</v>
      </c>
      <c r="S22" s="210">
        <f>AE232</f>
        <v>-5.8684488138169399E-2</v>
      </c>
      <c r="T22" s="238" t="s">
        <v>161</v>
      </c>
      <c r="U22" s="238"/>
      <c r="V22" s="238"/>
      <c r="W22" s="238"/>
      <c r="X22" s="238"/>
      <c r="Y22" s="238"/>
      <c r="Z22" s="238"/>
      <c r="AA22" s="238"/>
      <c r="AB22" s="238" t="s">
        <v>137</v>
      </c>
      <c r="AC22" s="238"/>
      <c r="AE22" s="232">
        <f t="shared" si="0"/>
        <v>8.1642300389879097</v>
      </c>
      <c r="AF22" s="232">
        <f t="shared" si="1"/>
        <v>-8.7510749203698168</v>
      </c>
      <c r="AG22" s="232">
        <f t="shared" si="2"/>
        <v>-0.58684488138169399</v>
      </c>
      <c r="AI22" s="180">
        <f t="shared" ref="AI22:AJ24" si="8">(Q22-N22)/N22</f>
        <v>-6.7059748284832243E-2</v>
      </c>
      <c r="AJ22" s="181">
        <f t="shared" si="8"/>
        <v>8.1194909451201312E-15</v>
      </c>
      <c r="AK22" s="182"/>
    </row>
    <row r="23" spans="1:43" s="59" customFormat="1" ht="48" customHeight="1">
      <c r="B23" s="184">
        <v>8</v>
      </c>
      <c r="C23" s="196" t="s">
        <v>61</v>
      </c>
      <c r="D23" s="211" t="s">
        <v>58</v>
      </c>
      <c r="E23" s="192" t="s">
        <v>157</v>
      </c>
      <c r="F23" s="194" t="s">
        <v>58</v>
      </c>
      <c r="G23" s="196">
        <f>F247-F248</f>
        <v>1.8862994549455152</v>
      </c>
      <c r="H23" s="197">
        <f>E249-E248</f>
        <v>0</v>
      </c>
      <c r="I23" s="198">
        <f>Q249</f>
        <v>1</v>
      </c>
      <c r="J23" s="199">
        <f>T249</f>
        <v>0</v>
      </c>
      <c r="K23" s="212" t="s">
        <v>143</v>
      </c>
      <c r="L23" s="213" t="s">
        <v>142</v>
      </c>
      <c r="M23" s="214" t="s">
        <v>140</v>
      </c>
      <c r="N23" s="203">
        <f>M247</f>
        <v>0.87510749203696037</v>
      </c>
      <c r="O23" s="204">
        <f>N247</f>
        <v>-0.87510749203697458</v>
      </c>
      <c r="P23" s="205">
        <f>O247</f>
        <v>0</v>
      </c>
      <c r="Q23" s="208">
        <f>AC262</f>
        <v>0.47456256757733684</v>
      </c>
      <c r="R23" s="209">
        <f>K262</f>
        <v>-0.87510749203698168</v>
      </c>
      <c r="S23" s="210">
        <f>AE262</f>
        <v>-0.40054492445962353</v>
      </c>
      <c r="T23" s="238" t="s">
        <v>162</v>
      </c>
      <c r="U23" s="238"/>
      <c r="V23" s="238"/>
      <c r="W23" s="238"/>
      <c r="X23" s="238"/>
      <c r="Y23" s="238"/>
      <c r="Z23" s="238"/>
      <c r="AA23" s="238"/>
      <c r="AB23" s="238" t="s">
        <v>138</v>
      </c>
      <c r="AC23" s="238"/>
      <c r="AE23" s="61">
        <f t="shared" si="0"/>
        <v>4.7456256757733684</v>
      </c>
      <c r="AF23" s="61">
        <f t="shared" si="1"/>
        <v>-8.7510749203698168</v>
      </c>
      <c r="AG23" s="61">
        <f t="shared" si="2"/>
        <v>-4.0054492445962353</v>
      </c>
      <c r="AI23" s="180">
        <f t="shared" si="8"/>
        <v>-0.45770939925024251</v>
      </c>
      <c r="AJ23" s="181">
        <f t="shared" si="8"/>
        <v>8.1194909451201312E-15</v>
      </c>
      <c r="AK23" s="182"/>
    </row>
    <row r="24" spans="1:43" s="59" customFormat="1" ht="48" customHeight="1">
      <c r="B24" s="185">
        <v>9</v>
      </c>
      <c r="C24" s="215" t="s">
        <v>58</v>
      </c>
      <c r="D24" s="216" t="s">
        <v>65</v>
      </c>
      <c r="E24" s="217" t="s">
        <v>157</v>
      </c>
      <c r="F24" s="218" t="s">
        <v>58</v>
      </c>
      <c r="G24" s="215">
        <f>F281-F280</f>
        <v>0</v>
      </c>
      <c r="H24" s="219">
        <f>E277-E278</f>
        <v>-0.68874088884363971</v>
      </c>
      <c r="I24" s="220">
        <f>Q279</f>
        <v>1</v>
      </c>
      <c r="J24" s="221">
        <f>T279</f>
        <v>0</v>
      </c>
      <c r="K24" s="222" t="s">
        <v>143</v>
      </c>
      <c r="L24" s="223" t="s">
        <v>142</v>
      </c>
      <c r="M24" s="224" t="s">
        <v>143</v>
      </c>
      <c r="N24" s="225">
        <f>M277</f>
        <v>1.3818899764653167</v>
      </c>
      <c r="O24" s="226">
        <f>N277</f>
        <v>-0.46333168543090153</v>
      </c>
      <c r="P24" s="227">
        <f>O277</f>
        <v>0.91855829103442943</v>
      </c>
      <c r="Q24" s="228">
        <f>AC292</f>
        <v>1.2389354024948886</v>
      </c>
      <c r="R24" s="229">
        <f>K292</f>
        <v>-0.46333168543090864</v>
      </c>
      <c r="S24" s="230">
        <f>AE292</f>
        <v>0.77560371706400133</v>
      </c>
      <c r="T24" s="250" t="s">
        <v>164</v>
      </c>
      <c r="U24" s="250"/>
      <c r="V24" s="250"/>
      <c r="W24" s="250"/>
      <c r="X24" s="250"/>
      <c r="Y24" s="250"/>
      <c r="Z24" s="250"/>
      <c r="AA24" s="250"/>
      <c r="AB24" s="250" t="s">
        <v>138</v>
      </c>
      <c r="AC24" s="250"/>
      <c r="AE24" s="183">
        <f t="shared" si="0"/>
        <v>12.389354024948886</v>
      </c>
      <c r="AF24" s="61">
        <f t="shared" si="1"/>
        <v>-4.6333168543090864</v>
      </c>
      <c r="AG24" s="183">
        <f t="shared" si="2"/>
        <v>7.7560371706400133</v>
      </c>
      <c r="AI24" s="180">
        <f t="shared" si="8"/>
        <v>-0.10344859316230523</v>
      </c>
      <c r="AJ24" s="181">
        <f t="shared" si="8"/>
        <v>1.5335509271274869E-14</v>
      </c>
      <c r="AK24" s="182">
        <f>(S24-P24)/P24</f>
        <v>-0.15562928925222652</v>
      </c>
    </row>
    <row r="25" spans="1:43" s="59" customFormat="1" ht="17.25" customHeight="1">
      <c r="B25" s="162"/>
      <c r="C25" s="163"/>
      <c r="D25" s="164"/>
      <c r="E25" s="164"/>
      <c r="F25" s="165"/>
      <c r="G25" s="164"/>
      <c r="H25" s="164"/>
      <c r="I25" s="164"/>
      <c r="J25" s="164"/>
      <c r="K25" s="164"/>
      <c r="L25" s="164"/>
      <c r="M25" s="164"/>
      <c r="N25" s="164"/>
      <c r="O25" s="164"/>
      <c r="P25" s="164"/>
      <c r="Q25" s="164"/>
      <c r="R25" s="164"/>
      <c r="S25" s="164"/>
      <c r="T25" s="251"/>
      <c r="U25" s="251"/>
      <c r="V25" s="251"/>
      <c r="W25" s="251"/>
      <c r="X25" s="251"/>
      <c r="Y25" s="251"/>
      <c r="Z25" s="251"/>
      <c r="AA25" s="251"/>
      <c r="AB25" s="251"/>
      <c r="AC25" s="251"/>
      <c r="AE25" s="164"/>
      <c r="AF25" s="167"/>
      <c r="AG25" s="167"/>
      <c r="AH25" s="166"/>
    </row>
    <row r="26" spans="1:43" s="59" customFormat="1" ht="17.25" customHeight="1">
      <c r="B26" s="5"/>
      <c r="C26" s="8"/>
      <c r="D26" s="6"/>
      <c r="E26" s="6"/>
      <c r="F26" s="7"/>
    </row>
    <row r="27" spans="1:43" s="59" customFormat="1" ht="17.25" customHeight="1">
      <c r="B27" s="5"/>
      <c r="C27" s="8"/>
      <c r="D27" s="6"/>
      <c r="E27" s="6"/>
      <c r="F27" s="7"/>
    </row>
    <row r="28" spans="1:43" s="59" customFormat="1" ht="17.25" customHeight="1">
      <c r="B28" s="5"/>
      <c r="C28" s="8"/>
      <c r="D28" s="6"/>
      <c r="E28" s="6"/>
      <c r="F28" s="7"/>
    </row>
    <row r="29" spans="1:43" s="86" customFormat="1" ht="17.25" customHeight="1" thickBot="1">
      <c r="B29" s="87"/>
      <c r="C29" s="88"/>
      <c r="F29" s="89"/>
    </row>
    <row r="30" spans="1:43">
      <c r="A30" s="15" t="s">
        <v>152</v>
      </c>
      <c r="AG30" s="59" t="s">
        <v>110</v>
      </c>
    </row>
    <row r="31" spans="1:43" ht="18.75" customHeight="1">
      <c r="A31" s="60" t="s">
        <v>107</v>
      </c>
      <c r="B31" s="60">
        <v>0</v>
      </c>
      <c r="C31" s="2"/>
      <c r="D31" s="60">
        <v>0</v>
      </c>
      <c r="E31" s="60">
        <v>0</v>
      </c>
      <c r="F31" s="60">
        <v>1</v>
      </c>
      <c r="P31" s="2" t="s">
        <v>52</v>
      </c>
      <c r="Q31" s="2"/>
      <c r="R31" s="2"/>
      <c r="S31" s="10"/>
      <c r="T31" s="10"/>
      <c r="AM31" s="59" t="s">
        <v>111</v>
      </c>
    </row>
    <row r="32" spans="1:43" s="27" customFormat="1" ht="120.75">
      <c r="B32" s="48" t="s">
        <v>12</v>
      </c>
      <c r="C32" s="48" t="s">
        <v>8</v>
      </c>
      <c r="D32" s="125" t="s">
        <v>42</v>
      </c>
      <c r="E32" s="48" t="s">
        <v>3</v>
      </c>
      <c r="F32" s="48" t="s">
        <v>4</v>
      </c>
      <c r="G32" s="28" t="s">
        <v>41</v>
      </c>
      <c r="I32" s="66" t="s">
        <v>1</v>
      </c>
      <c r="J32" s="66" t="s">
        <v>6</v>
      </c>
      <c r="K32" s="66" t="s">
        <v>5</v>
      </c>
      <c r="M32" s="30" t="s">
        <v>21</v>
      </c>
      <c r="N32" s="30" t="s">
        <v>20</v>
      </c>
      <c r="O32" s="66" t="s">
        <v>91</v>
      </c>
      <c r="P32" s="46" t="s">
        <v>50</v>
      </c>
      <c r="Q32" s="46" t="s">
        <v>112</v>
      </c>
      <c r="R32" s="28" t="s">
        <v>18</v>
      </c>
      <c r="S32" s="28" t="s">
        <v>19</v>
      </c>
      <c r="T32" s="56" t="s">
        <v>83</v>
      </c>
      <c r="AG32" s="28" t="str">
        <f>F32</f>
        <v>span (cm)</v>
      </c>
      <c r="AH32" s="28" t="s">
        <v>113</v>
      </c>
      <c r="AI32" s="28" t="s">
        <v>114</v>
      </c>
      <c r="AJ32" s="28" t="s">
        <v>115</v>
      </c>
      <c r="AK32" s="28" t="str">
        <f>Q32</f>
        <v>distance to move stretcher to stern (cm)</v>
      </c>
      <c r="AM32" s="28" t="str">
        <f>AG32</f>
        <v>span (cm)</v>
      </c>
      <c r="AN32" s="28" t="str">
        <f t="shared" ref="AN32:AQ32" si="9">AH32</f>
        <v>Change in catch angle (deg)</v>
      </c>
      <c r="AO32" s="28" t="str">
        <f t="shared" si="9"/>
        <v>Change in finish angle (deg)</v>
      </c>
      <c r="AP32" s="28" t="str">
        <f t="shared" si="9"/>
        <v>Change in sweep angle (deg)</v>
      </c>
      <c r="AQ32" s="28" t="str">
        <f t="shared" si="9"/>
        <v>distance to move stretcher to stern (cm)</v>
      </c>
    </row>
    <row r="33" spans="1:45" s="27" customFormat="1">
      <c r="B33" s="140">
        <f t="shared" ref="B33" si="10">5*B31+B38</f>
        <v>183</v>
      </c>
      <c r="C33" s="18">
        <f t="shared" ref="C33:C37" si="11">100*(0.297865*B33/100+1.08387)</f>
        <v>162.89629500000001</v>
      </c>
      <c r="D33" s="140">
        <f t="shared" ref="D33:E33" si="12">5*D31+D38</f>
        <v>30</v>
      </c>
      <c r="E33" s="63">
        <f t="shared" si="12"/>
        <v>88</v>
      </c>
      <c r="F33" s="63">
        <f>5*F31+F38</f>
        <v>165</v>
      </c>
      <c r="G33" s="63">
        <f t="shared" ref="G33:G34" si="13">(E33+2)*2 -F33</f>
        <v>15</v>
      </c>
      <c r="I33" s="9">
        <f t="shared" ref="I33:I43" si="14">DEGREES(ACOS((F33-D33)/2/(E33+2)))</f>
        <v>41.409622109270856</v>
      </c>
      <c r="J33" s="9">
        <f t="shared" ref="J33:J43" si="15">DEGREES(C33/(E33-6+2))</f>
        <v>111.11035954545257</v>
      </c>
      <c r="K33" s="9">
        <f t="shared" ref="K33:K34" si="16">J33-I33</f>
        <v>69.700737436181711</v>
      </c>
      <c r="M33" s="51">
        <f t="shared" ref="M33:M43" si="17">K33-K$38</f>
        <v>2.3521205834089329</v>
      </c>
      <c r="N33" s="51">
        <f t="shared" ref="N33:N43" si="18">I33-I$38</f>
        <v>-2.35212058340894</v>
      </c>
      <c r="O33" s="9">
        <f t="shared" ref="O33:O37" si="19">J33-J$38</f>
        <v>0</v>
      </c>
      <c r="P33" s="11">
        <f t="shared" ref="P33:P43" si="20">((F33-D33)/2)*TAN(RADIANS(I33))</f>
        <v>59.529404498953284</v>
      </c>
      <c r="Q33" s="11">
        <f>P$38-P33</f>
        <v>2.7200934909903651</v>
      </c>
      <c r="R33" s="3">
        <f t="shared" ref="R33:R43" si="21">(E33+2)*SIN(RADIANS(K33))</f>
        <v>84.410405985170328</v>
      </c>
      <c r="S33" s="3">
        <f t="shared" ref="S33:S43" si="22">(F33/2)- (E33+2)*COS(RADIANS(K33))</f>
        <v>51.276877775937891</v>
      </c>
      <c r="T33" s="2">
        <f t="shared" ref="T33:T43" si="23">D33-D$38</f>
        <v>0</v>
      </c>
      <c r="AG33" s="128">
        <f>F33</f>
        <v>165</v>
      </c>
      <c r="AH33" s="128">
        <f>M33</f>
        <v>2.3521205834089329</v>
      </c>
      <c r="AI33" s="128">
        <f t="shared" ref="AI33:AJ33" si="24">N33</f>
        <v>-2.35212058340894</v>
      </c>
      <c r="AJ33" s="128">
        <f t="shared" si="24"/>
        <v>0</v>
      </c>
      <c r="AK33" s="128">
        <f>Q33</f>
        <v>2.7200934909903651</v>
      </c>
      <c r="AM33" s="134">
        <f>AG33/AG$38-1</f>
        <v>3.125E-2</v>
      </c>
      <c r="AN33" s="135">
        <f t="shared" ref="AN33:AN43" si="25">K33/K$38-1</f>
        <v>3.4924556632703885E-2</v>
      </c>
      <c r="AO33" s="135">
        <f t="shared" ref="AO33:AO43" si="26">I33/I$38-1</f>
        <v>-5.3748329903744674E-2</v>
      </c>
      <c r="AP33" s="135">
        <f t="shared" ref="AP33:AP43" si="27">J33/J$38-1</f>
        <v>0</v>
      </c>
      <c r="AQ33" s="134">
        <f>(Q33+60)/(Q$38+60) -1</f>
        <v>4.5334891516506159E-2</v>
      </c>
    </row>
    <row r="34" spans="1:45" s="27" customFormat="1">
      <c r="B34" s="140">
        <f t="shared" ref="B34" si="28">4*B31+B38</f>
        <v>183</v>
      </c>
      <c r="C34" s="18">
        <f t="shared" si="11"/>
        <v>162.89629500000001</v>
      </c>
      <c r="D34" s="140">
        <f t="shared" ref="D34:E34" si="29">4*D31+D38</f>
        <v>30</v>
      </c>
      <c r="E34" s="63">
        <f t="shared" si="29"/>
        <v>88</v>
      </c>
      <c r="F34" s="63">
        <f>4*F31+F38</f>
        <v>164</v>
      </c>
      <c r="G34" s="63">
        <f t="shared" si="13"/>
        <v>16</v>
      </c>
      <c r="I34" s="9">
        <f t="shared" si="14"/>
        <v>41.888596915041013</v>
      </c>
      <c r="J34" s="9">
        <f t="shared" si="15"/>
        <v>111.11035954545257</v>
      </c>
      <c r="K34" s="9">
        <f t="shared" si="16"/>
        <v>69.221762630411547</v>
      </c>
      <c r="M34" s="51">
        <f t="shared" si="17"/>
        <v>1.8731457776387685</v>
      </c>
      <c r="N34" s="51">
        <f t="shared" si="18"/>
        <v>-1.8731457776387828</v>
      </c>
      <c r="O34" s="9">
        <f t="shared" si="19"/>
        <v>0</v>
      </c>
      <c r="P34" s="11">
        <f t="shared" si="20"/>
        <v>60.091596750294457</v>
      </c>
      <c r="Q34" s="62">
        <f t="shared" ref="Q34:Q43" si="30">P$38-P34</f>
        <v>2.1579012396491919</v>
      </c>
      <c r="R34" s="3">
        <f t="shared" si="21"/>
        <v>84.146444017042597</v>
      </c>
      <c r="S34" s="3">
        <f t="shared" si="22"/>
        <v>50.072332385739209</v>
      </c>
      <c r="T34" s="2">
        <f t="shared" si="23"/>
        <v>0</v>
      </c>
      <c r="AG34" s="128">
        <f t="shared" ref="AG34:AG43" si="31">F34</f>
        <v>164</v>
      </c>
      <c r="AH34" s="128">
        <f t="shared" ref="AH34:AH43" si="32">M34</f>
        <v>1.8731457776387685</v>
      </c>
      <c r="AI34" s="128">
        <f t="shared" ref="AI34:AI43" si="33">N34</f>
        <v>-1.8731457776387828</v>
      </c>
      <c r="AJ34" s="128">
        <f t="shared" ref="AJ34:AJ43" si="34">O34</f>
        <v>0</v>
      </c>
      <c r="AK34" s="128">
        <f t="shared" ref="AK34:AK43" si="35">Q34</f>
        <v>2.1579012396491919</v>
      </c>
      <c r="AM34" s="134">
        <f t="shared" ref="AM34:AM43" si="36">AG34/AG$38-1</f>
        <v>2.4999999999999911E-2</v>
      </c>
      <c r="AN34" s="135">
        <f t="shared" si="25"/>
        <v>2.7812683692280515E-2</v>
      </c>
      <c r="AO34" s="135">
        <f t="shared" si="26"/>
        <v>-4.2803272045016438E-2</v>
      </c>
      <c r="AP34" s="135">
        <f t="shared" si="27"/>
        <v>0</v>
      </c>
      <c r="AQ34" s="134">
        <f t="shared" ref="AQ34:AQ43" si="37">(Q34+60)/(Q$38+60) -1</f>
        <v>3.5965020660819969E-2</v>
      </c>
    </row>
    <row r="35" spans="1:45" s="27" customFormat="1">
      <c r="B35" s="140">
        <f t="shared" ref="B35" si="38">3*B31+B38</f>
        <v>183</v>
      </c>
      <c r="C35" s="18">
        <f t="shared" si="11"/>
        <v>162.89629500000001</v>
      </c>
      <c r="D35" s="140">
        <f t="shared" ref="D35:E35" si="39">3*D31+D38</f>
        <v>30</v>
      </c>
      <c r="E35" s="63">
        <f t="shared" si="39"/>
        <v>88</v>
      </c>
      <c r="F35" s="63">
        <f>3*F31+F38</f>
        <v>163</v>
      </c>
      <c r="G35" s="63">
        <f t="shared" ref="G35:G37" si="40">(E35+2)*2 -F35</f>
        <v>17</v>
      </c>
      <c r="I35" s="9">
        <f t="shared" si="14"/>
        <v>42.363148226263284</v>
      </c>
      <c r="J35" s="9">
        <f t="shared" si="15"/>
        <v>111.11035954545257</v>
      </c>
      <c r="K35" s="9">
        <f t="shared" ref="K35:K37" si="41">J35-I35</f>
        <v>68.74721131918929</v>
      </c>
      <c r="M35" s="51">
        <f t="shared" si="17"/>
        <v>1.3985944664165118</v>
      </c>
      <c r="N35" s="51">
        <f t="shared" si="18"/>
        <v>-1.3985944664165118</v>
      </c>
      <c r="O35" s="9">
        <f t="shared" si="19"/>
        <v>0</v>
      </c>
      <c r="P35" s="11">
        <f t="shared" si="20"/>
        <v>60.64445564105592</v>
      </c>
      <c r="Q35" s="62">
        <f t="shared" si="30"/>
        <v>1.6050423488877286</v>
      </c>
      <c r="R35" s="3">
        <f t="shared" si="21"/>
        <v>83.87912049454826</v>
      </c>
      <c r="S35" s="3">
        <f t="shared" si="22"/>
        <v>48.876493979631</v>
      </c>
      <c r="T35" s="2">
        <f t="shared" si="23"/>
        <v>0</v>
      </c>
      <c r="AG35" s="128">
        <f t="shared" si="31"/>
        <v>163</v>
      </c>
      <c r="AH35" s="128">
        <f t="shared" si="32"/>
        <v>1.3985944664165118</v>
      </c>
      <c r="AI35" s="128">
        <f t="shared" si="33"/>
        <v>-1.3985944664165118</v>
      </c>
      <c r="AJ35" s="128">
        <f t="shared" si="34"/>
        <v>0</v>
      </c>
      <c r="AK35" s="128">
        <f t="shared" si="35"/>
        <v>1.6050423488877286</v>
      </c>
      <c r="AM35" s="134">
        <f t="shared" si="36"/>
        <v>1.8750000000000044E-2</v>
      </c>
      <c r="AN35" s="135">
        <f t="shared" si="25"/>
        <v>2.0766491307073309E-2</v>
      </c>
      <c r="AO35" s="135">
        <f t="shared" si="26"/>
        <v>-3.1959295502426599E-2</v>
      </c>
      <c r="AP35" s="135">
        <f t="shared" si="27"/>
        <v>0</v>
      </c>
      <c r="AQ35" s="134">
        <f t="shared" si="37"/>
        <v>2.675070581479555E-2</v>
      </c>
    </row>
    <row r="36" spans="1:45" s="27" customFormat="1">
      <c r="B36" s="140">
        <f t="shared" ref="B36" si="42">2*B31+B38</f>
        <v>183</v>
      </c>
      <c r="C36" s="18">
        <f t="shared" si="11"/>
        <v>162.89629500000001</v>
      </c>
      <c r="D36" s="140">
        <f t="shared" ref="D36:E36" si="43">2*D31+D38</f>
        <v>30</v>
      </c>
      <c r="E36" s="63">
        <f t="shared" si="43"/>
        <v>88</v>
      </c>
      <c r="F36" s="63">
        <f>2*F31+F38</f>
        <v>162</v>
      </c>
      <c r="G36" s="63">
        <f t="shared" si="40"/>
        <v>18</v>
      </c>
      <c r="I36" s="9">
        <f t="shared" si="14"/>
        <v>42.833428066067256</v>
      </c>
      <c r="J36" s="9">
        <f t="shared" si="15"/>
        <v>111.11035954545257</v>
      </c>
      <c r="K36" s="9">
        <f t="shared" si="41"/>
        <v>68.276931479385311</v>
      </c>
      <c r="M36" s="51">
        <f t="shared" si="17"/>
        <v>0.92831462661253283</v>
      </c>
      <c r="N36" s="51">
        <f t="shared" si="18"/>
        <v>-0.92831462661253994</v>
      </c>
      <c r="O36" s="9">
        <f t="shared" si="19"/>
        <v>0</v>
      </c>
      <c r="P36" s="11">
        <f t="shared" si="20"/>
        <v>61.188234163113428</v>
      </c>
      <c r="Q36" s="62">
        <f t="shared" si="30"/>
        <v>1.0612638268302206</v>
      </c>
      <c r="R36" s="3">
        <f t="shared" si="21"/>
        <v>83.608526536629711</v>
      </c>
      <c r="S36" s="3">
        <f t="shared" si="22"/>
        <v>47.689126544419672</v>
      </c>
      <c r="T36" s="2">
        <f t="shared" si="23"/>
        <v>0</v>
      </c>
      <c r="AG36" s="128">
        <f t="shared" si="31"/>
        <v>162</v>
      </c>
      <c r="AH36" s="128">
        <f t="shared" si="32"/>
        <v>0.92831462661253283</v>
      </c>
      <c r="AI36" s="128">
        <f t="shared" si="33"/>
        <v>-0.92831462661253994</v>
      </c>
      <c r="AJ36" s="128">
        <f t="shared" si="34"/>
        <v>0</v>
      </c>
      <c r="AK36" s="128">
        <f t="shared" si="35"/>
        <v>1.0612638268302206</v>
      </c>
      <c r="AM36" s="134">
        <f t="shared" si="36"/>
        <v>1.2499999999999956E-2</v>
      </c>
      <c r="AN36" s="135">
        <f t="shared" si="25"/>
        <v>1.3783722220188643E-2</v>
      </c>
      <c r="AO36" s="135">
        <f t="shared" si="26"/>
        <v>-2.1212926393989862E-2</v>
      </c>
      <c r="AP36" s="135">
        <f t="shared" si="27"/>
        <v>0</v>
      </c>
      <c r="AQ36" s="134">
        <f t="shared" si="37"/>
        <v>1.7687730447170313E-2</v>
      </c>
    </row>
    <row r="37" spans="1:45" s="27" customFormat="1">
      <c r="B37" s="140">
        <f t="shared" ref="B37" si="44">B38+B31</f>
        <v>183</v>
      </c>
      <c r="C37" s="18">
        <f t="shared" si="11"/>
        <v>162.89629500000001</v>
      </c>
      <c r="D37" s="140">
        <f t="shared" ref="D37:E37" si="45">D38+D31</f>
        <v>30</v>
      </c>
      <c r="E37" s="63">
        <f t="shared" si="45"/>
        <v>88</v>
      </c>
      <c r="F37" s="63">
        <f>F38+F31</f>
        <v>161</v>
      </c>
      <c r="G37" s="63">
        <f t="shared" si="40"/>
        <v>19</v>
      </c>
      <c r="I37" s="9">
        <f t="shared" si="14"/>
        <v>43.299580599094426</v>
      </c>
      <c r="J37" s="9">
        <f t="shared" si="15"/>
        <v>111.11035954545257</v>
      </c>
      <c r="K37" s="9">
        <f t="shared" si="41"/>
        <v>67.810778946358141</v>
      </c>
      <c r="M37" s="51">
        <f t="shared" si="17"/>
        <v>0.46216209358536275</v>
      </c>
      <c r="N37" s="51">
        <f t="shared" si="18"/>
        <v>-0.46216209358536986</v>
      </c>
      <c r="O37" s="9">
        <f t="shared" si="19"/>
        <v>0</v>
      </c>
      <c r="P37" s="11">
        <f t="shared" si="20"/>
        <v>61.723172309919413</v>
      </c>
      <c r="Q37" s="62">
        <f t="shared" si="30"/>
        <v>0.52632568002423596</v>
      </c>
      <c r="R37" s="3">
        <f t="shared" si="21"/>
        <v>83.334748580645794</v>
      </c>
      <c r="S37" s="3">
        <f t="shared" si="22"/>
        <v>46.510006192990353</v>
      </c>
      <c r="T37" s="2">
        <f t="shared" si="23"/>
        <v>0</v>
      </c>
      <c r="AG37" s="128">
        <f t="shared" si="31"/>
        <v>161</v>
      </c>
      <c r="AH37" s="128">
        <f t="shared" si="32"/>
        <v>0.46216209358536275</v>
      </c>
      <c r="AI37" s="128">
        <f t="shared" si="33"/>
        <v>-0.46216209358536986</v>
      </c>
      <c r="AJ37" s="128">
        <f t="shared" si="34"/>
        <v>0</v>
      </c>
      <c r="AK37" s="128">
        <f t="shared" si="35"/>
        <v>0.52632568002423596</v>
      </c>
      <c r="AM37" s="134">
        <f t="shared" si="36"/>
        <v>6.2500000000000888E-3</v>
      </c>
      <c r="AN37" s="135">
        <f t="shared" si="25"/>
        <v>6.8622358584686793E-3</v>
      </c>
      <c r="AO37" s="135">
        <f t="shared" si="26"/>
        <v>-1.0560870412107182E-2</v>
      </c>
      <c r="AP37" s="135">
        <f t="shared" si="27"/>
        <v>0</v>
      </c>
      <c r="AQ37" s="134">
        <f t="shared" si="37"/>
        <v>8.772094667070629E-3</v>
      </c>
    </row>
    <row r="38" spans="1:45">
      <c r="B38" s="147">
        <v>183</v>
      </c>
      <c r="C38" s="18">
        <f>100*(0.297865*B38/100+1.08387)</f>
        <v>162.89629500000001</v>
      </c>
      <c r="D38" s="72">
        <v>30</v>
      </c>
      <c r="E38" s="72">
        <v>88</v>
      </c>
      <c r="F38" s="72">
        <v>160</v>
      </c>
      <c r="G38" s="63">
        <f>(E38+2)*2 -F38</f>
        <v>20</v>
      </c>
      <c r="I38" s="9">
        <f t="shared" si="14"/>
        <v>43.761742692679796</v>
      </c>
      <c r="J38" s="9">
        <f t="shared" si="15"/>
        <v>111.11035954545257</v>
      </c>
      <c r="K38" s="9">
        <f>J38-I38</f>
        <v>67.348616852772778</v>
      </c>
      <c r="M38" s="51">
        <f t="shared" si="17"/>
        <v>0</v>
      </c>
      <c r="N38" s="51">
        <f t="shared" si="18"/>
        <v>0</v>
      </c>
      <c r="O38" s="9">
        <f>J38-J$38</f>
        <v>0</v>
      </c>
      <c r="P38" s="11">
        <f t="shared" si="20"/>
        <v>62.249497989943649</v>
      </c>
      <c r="Q38" s="62">
        <f t="shared" si="30"/>
        <v>0</v>
      </c>
      <c r="R38" s="3">
        <f t="shared" si="21"/>
        <v>83.057868711361749</v>
      </c>
      <c r="S38" s="3">
        <f t="shared" si="22"/>
        <v>45.338920312168661</v>
      </c>
      <c r="T38" s="2">
        <f t="shared" si="23"/>
        <v>0</v>
      </c>
      <c r="AG38" s="128">
        <f t="shared" si="31"/>
        <v>160</v>
      </c>
      <c r="AH38" s="128">
        <f t="shared" si="32"/>
        <v>0</v>
      </c>
      <c r="AI38" s="128">
        <f t="shared" si="33"/>
        <v>0</v>
      </c>
      <c r="AJ38" s="128">
        <f t="shared" si="34"/>
        <v>0</v>
      </c>
      <c r="AK38" s="128">
        <f t="shared" si="35"/>
        <v>0</v>
      </c>
      <c r="AM38" s="134">
        <f t="shared" si="36"/>
        <v>0</v>
      </c>
      <c r="AN38" s="135">
        <f t="shared" si="25"/>
        <v>0</v>
      </c>
      <c r="AO38" s="135">
        <f t="shared" si="26"/>
        <v>0</v>
      </c>
      <c r="AP38" s="135">
        <f t="shared" si="27"/>
        <v>0</v>
      </c>
      <c r="AQ38" s="134">
        <f t="shared" si="37"/>
        <v>0</v>
      </c>
    </row>
    <row r="39" spans="1:45">
      <c r="B39" s="140">
        <f t="shared" ref="B39" si="46">B38-B31</f>
        <v>183</v>
      </c>
      <c r="C39" s="18">
        <f>100*(0.297865*B39/100+1.08387)</f>
        <v>162.89629500000001</v>
      </c>
      <c r="D39" s="140">
        <f t="shared" ref="D39:E39" si="47">D38-D31</f>
        <v>30</v>
      </c>
      <c r="E39" s="63">
        <f t="shared" si="47"/>
        <v>88</v>
      </c>
      <c r="F39" s="63">
        <f>F38-F31</f>
        <v>159</v>
      </c>
      <c r="G39" s="63">
        <f t="shared" ref="G39:G43" si="48">(E39+2)*2 -F39</f>
        <v>21</v>
      </c>
      <c r="I39" s="9">
        <f t="shared" si="14"/>
        <v>44.220044427683412</v>
      </c>
      <c r="J39" s="9">
        <f t="shared" si="15"/>
        <v>111.11035954545257</v>
      </c>
      <c r="K39" s="9">
        <f t="shared" ref="K39:K42" si="49">J39-I39</f>
        <v>66.890315117769148</v>
      </c>
      <c r="M39" s="51">
        <f t="shared" si="17"/>
        <v>-0.45830173500363003</v>
      </c>
      <c r="N39" s="51">
        <f t="shared" si="18"/>
        <v>0.45830173500361582</v>
      </c>
      <c r="O39" s="9">
        <f t="shared" ref="O39:O42" si="50">J39-J$38</f>
        <v>0</v>
      </c>
      <c r="P39" s="11">
        <f t="shared" si="20"/>
        <v>62.767427858723032</v>
      </c>
      <c r="Q39" s="62">
        <f t="shared" si="30"/>
        <v>-0.51792986877938318</v>
      </c>
      <c r="R39" s="3">
        <f t="shared" si="21"/>
        <v>82.777964960624672</v>
      </c>
      <c r="S39" s="3">
        <f t="shared" si="22"/>
        <v>44.175666786511094</v>
      </c>
      <c r="T39" s="2">
        <f t="shared" si="23"/>
        <v>0</v>
      </c>
      <c r="AG39" s="128">
        <f t="shared" si="31"/>
        <v>159</v>
      </c>
      <c r="AH39" s="128">
        <f t="shared" si="32"/>
        <v>-0.45830173500363003</v>
      </c>
      <c r="AI39" s="128">
        <f t="shared" si="33"/>
        <v>0.45830173500361582</v>
      </c>
      <c r="AJ39" s="128">
        <f t="shared" si="34"/>
        <v>0</v>
      </c>
      <c r="AK39" s="128">
        <f t="shared" si="35"/>
        <v>-0.51792986877938318</v>
      </c>
      <c r="AM39" s="134">
        <f t="shared" si="36"/>
        <v>-6.2499999999999778E-3</v>
      </c>
      <c r="AN39" s="135">
        <f t="shared" si="25"/>
        <v>-6.8049168107713331E-3</v>
      </c>
      <c r="AO39" s="135">
        <f t="shared" si="26"/>
        <v>1.0472657321306311E-2</v>
      </c>
      <c r="AP39" s="135">
        <f t="shared" si="27"/>
        <v>0</v>
      </c>
      <c r="AQ39" s="134">
        <f t="shared" si="37"/>
        <v>-8.6321644796564234E-3</v>
      </c>
    </row>
    <row r="40" spans="1:45">
      <c r="B40" s="140">
        <f t="shared" ref="B40" si="51">B38-2*B31</f>
        <v>183</v>
      </c>
      <c r="C40" s="18">
        <f t="shared" ref="C40:C43" si="52">100*(0.297865*B40/100+1.08387)</f>
        <v>162.89629500000001</v>
      </c>
      <c r="D40" s="140">
        <f t="shared" ref="D40:E40" si="53">D38-2*D31</f>
        <v>30</v>
      </c>
      <c r="E40" s="63">
        <f t="shared" si="53"/>
        <v>88</v>
      </c>
      <c r="F40" s="63">
        <f>F38-2*F31</f>
        <v>158</v>
      </c>
      <c r="G40" s="63">
        <f t="shared" si="48"/>
        <v>22</v>
      </c>
      <c r="I40" s="9">
        <f t="shared" si="14"/>
        <v>44.674609564383559</v>
      </c>
      <c r="J40" s="9">
        <f t="shared" si="15"/>
        <v>111.11035954545257</v>
      </c>
      <c r="K40" s="9">
        <f t="shared" si="49"/>
        <v>66.435749981069009</v>
      </c>
      <c r="M40" s="51">
        <f t="shared" si="17"/>
        <v>-0.91286687170376979</v>
      </c>
      <c r="N40" s="51">
        <f t="shared" si="18"/>
        <v>0.91286687170376268</v>
      </c>
      <c r="O40" s="9">
        <f t="shared" si="50"/>
        <v>0</v>
      </c>
      <c r="P40" s="11">
        <f t="shared" si="20"/>
        <v>63.277168078225486</v>
      </c>
      <c r="Q40" s="62">
        <f t="shared" si="30"/>
        <v>-1.0276700882818375</v>
      </c>
      <c r="R40" s="3">
        <f t="shared" si="21"/>
        <v>82.495111580860367</v>
      </c>
      <c r="S40" s="3">
        <f t="shared" si="22"/>
        <v>43.020053289903302</v>
      </c>
      <c r="T40" s="2">
        <f t="shared" si="23"/>
        <v>0</v>
      </c>
      <c r="AG40" s="128">
        <f t="shared" si="31"/>
        <v>158</v>
      </c>
      <c r="AH40" s="128">
        <f t="shared" si="32"/>
        <v>-0.91286687170376979</v>
      </c>
      <c r="AI40" s="128">
        <f t="shared" si="33"/>
        <v>0.91286687170376268</v>
      </c>
      <c r="AJ40" s="128">
        <f t="shared" si="34"/>
        <v>0</v>
      </c>
      <c r="AK40" s="128">
        <f t="shared" si="35"/>
        <v>-1.0276700882818375</v>
      </c>
      <c r="AM40" s="134">
        <f t="shared" si="36"/>
        <v>-1.2499999999999956E-2</v>
      </c>
      <c r="AN40" s="135">
        <f t="shared" si="25"/>
        <v>-1.3554352180674134E-2</v>
      </c>
      <c r="AO40" s="135">
        <f t="shared" si="26"/>
        <v>2.0859929599112093E-2</v>
      </c>
      <c r="AP40" s="135">
        <f t="shared" si="27"/>
        <v>0</v>
      </c>
      <c r="AQ40" s="134">
        <f t="shared" si="37"/>
        <v>-1.7127834804697262E-2</v>
      </c>
    </row>
    <row r="41" spans="1:45">
      <c r="B41" s="140">
        <f t="shared" ref="B41" si="54">B38-3*B31</f>
        <v>183</v>
      </c>
      <c r="C41" s="18">
        <f t="shared" si="52"/>
        <v>162.89629500000001</v>
      </c>
      <c r="D41" s="140">
        <f t="shared" ref="D41:E41" si="55">D38-3*D31</f>
        <v>30</v>
      </c>
      <c r="E41" s="63">
        <f t="shared" si="55"/>
        <v>88</v>
      </c>
      <c r="F41" s="63">
        <f>F38-3*F31</f>
        <v>157</v>
      </c>
      <c r="G41" s="63">
        <f t="shared" si="48"/>
        <v>23</v>
      </c>
      <c r="I41" s="9">
        <f t="shared" si="14"/>
        <v>45.125555968169813</v>
      </c>
      <c r="J41" s="9">
        <f t="shared" si="15"/>
        <v>111.11035954545257</v>
      </c>
      <c r="K41" s="9">
        <f t="shared" si="49"/>
        <v>65.984803577282747</v>
      </c>
      <c r="M41" s="51">
        <f t="shared" si="17"/>
        <v>-1.3638132754900312</v>
      </c>
      <c r="N41" s="51">
        <f t="shared" si="18"/>
        <v>1.363813275490017</v>
      </c>
      <c r="O41" s="9">
        <f t="shared" si="50"/>
        <v>0</v>
      </c>
      <c r="P41" s="11">
        <f t="shared" si="20"/>
        <v>63.778915011153941</v>
      </c>
      <c r="Q41" s="62">
        <f t="shared" si="30"/>
        <v>-1.5294170212102927</v>
      </c>
      <c r="R41" s="3">
        <f t="shared" si="21"/>
        <v>82.209379295137495</v>
      </c>
      <c r="S41" s="3">
        <f t="shared" si="22"/>
        <v>41.871896637851719</v>
      </c>
      <c r="T41" s="2">
        <f t="shared" si="23"/>
        <v>0</v>
      </c>
      <c r="AG41" s="128">
        <f t="shared" si="31"/>
        <v>157</v>
      </c>
      <c r="AH41" s="128">
        <f t="shared" si="32"/>
        <v>-1.3638132754900312</v>
      </c>
      <c r="AI41" s="128">
        <f t="shared" si="33"/>
        <v>1.363813275490017</v>
      </c>
      <c r="AJ41" s="128">
        <f t="shared" si="34"/>
        <v>0</v>
      </c>
      <c r="AK41" s="128">
        <f t="shared" si="35"/>
        <v>-1.5294170212102927</v>
      </c>
      <c r="AM41" s="134">
        <f t="shared" si="36"/>
        <v>-1.8750000000000044E-2</v>
      </c>
      <c r="AN41" s="135">
        <f t="shared" si="25"/>
        <v>-2.02500561885538E-2</v>
      </c>
      <c r="AO41" s="135">
        <f t="shared" si="26"/>
        <v>3.1164510176559856E-2</v>
      </c>
      <c r="AP41" s="135">
        <f t="shared" si="27"/>
        <v>0</v>
      </c>
      <c r="AQ41" s="134">
        <f t="shared" si="37"/>
        <v>-2.5490283686838255E-2</v>
      </c>
    </row>
    <row r="42" spans="1:45">
      <c r="B42" s="140">
        <f t="shared" ref="B42" si="56">B38-4*B31</f>
        <v>183</v>
      </c>
      <c r="C42" s="18">
        <f t="shared" si="52"/>
        <v>162.89629500000001</v>
      </c>
      <c r="D42" s="140">
        <f t="shared" ref="D42:E42" si="57">D38-4*D31</f>
        <v>30</v>
      </c>
      <c r="E42" s="63">
        <f t="shared" si="57"/>
        <v>88</v>
      </c>
      <c r="F42" s="63">
        <f>F38-4*F31</f>
        <v>156</v>
      </c>
      <c r="G42" s="63">
        <f t="shared" si="48"/>
        <v>24</v>
      </c>
      <c r="I42" s="9">
        <f t="shared" si="14"/>
        <v>45.572995999194291</v>
      </c>
      <c r="J42" s="9">
        <f t="shared" si="15"/>
        <v>111.11035954545257</v>
      </c>
      <c r="K42" s="9">
        <f t="shared" si="49"/>
        <v>65.537363546258277</v>
      </c>
      <c r="M42" s="51">
        <f t="shared" si="17"/>
        <v>-1.8112533065145016</v>
      </c>
      <c r="N42" s="51">
        <f t="shared" si="18"/>
        <v>1.8112533065144945</v>
      </c>
      <c r="O42" s="9">
        <f t="shared" si="50"/>
        <v>0</v>
      </c>
      <c r="P42" s="11">
        <f t="shared" si="20"/>
        <v>64.272855856885641</v>
      </c>
      <c r="Q42" s="62">
        <f t="shared" si="30"/>
        <v>-2.0233578669419927</v>
      </c>
      <c r="R42" s="3">
        <f t="shared" si="21"/>
        <v>81.920835526211107</v>
      </c>
      <c r="S42" s="3">
        <f t="shared" si="22"/>
        <v>40.731022194223428</v>
      </c>
      <c r="T42" s="2">
        <f t="shared" si="23"/>
        <v>0</v>
      </c>
      <c r="AG42" s="128">
        <f t="shared" si="31"/>
        <v>156</v>
      </c>
      <c r="AH42" s="128">
        <f t="shared" si="32"/>
        <v>-1.8112533065145016</v>
      </c>
      <c r="AI42" s="128">
        <f t="shared" si="33"/>
        <v>1.8112533065144945</v>
      </c>
      <c r="AJ42" s="128">
        <f t="shared" si="34"/>
        <v>0</v>
      </c>
      <c r="AK42" s="128">
        <f t="shared" si="35"/>
        <v>-2.0233578669419927</v>
      </c>
      <c r="AM42" s="134">
        <f t="shared" si="36"/>
        <v>-2.5000000000000022E-2</v>
      </c>
      <c r="AN42" s="135">
        <f t="shared" si="25"/>
        <v>-2.6893697170856323E-2</v>
      </c>
      <c r="AO42" s="135">
        <f t="shared" si="26"/>
        <v>4.1388966596558108E-2</v>
      </c>
      <c r="AP42" s="135">
        <f t="shared" si="27"/>
        <v>0</v>
      </c>
      <c r="AQ42" s="134">
        <f t="shared" si="37"/>
        <v>-3.3722631115699842E-2</v>
      </c>
    </row>
    <row r="43" spans="1:45">
      <c r="B43" s="140">
        <f t="shared" ref="B43" si="58">B38-5*B31</f>
        <v>183</v>
      </c>
      <c r="C43" s="18">
        <f t="shared" si="52"/>
        <v>162.89629500000001</v>
      </c>
      <c r="D43" s="140">
        <f t="shared" ref="D43:E43" si="59">D38-5*D31</f>
        <v>30</v>
      </c>
      <c r="E43" s="63">
        <f t="shared" si="59"/>
        <v>88</v>
      </c>
      <c r="F43" s="63">
        <f>F38-5*F31</f>
        <v>155</v>
      </c>
      <c r="G43" s="63">
        <f t="shared" si="48"/>
        <v>25</v>
      </c>
      <c r="I43" s="9">
        <f t="shared" si="14"/>
        <v>46.017036869641316</v>
      </c>
      <c r="J43" s="9">
        <f t="shared" si="15"/>
        <v>111.11035954545257</v>
      </c>
      <c r="K43" s="9">
        <f t="shared" ref="K43" si="60">J43-I43</f>
        <v>65.093322675811251</v>
      </c>
      <c r="M43" s="51">
        <f t="shared" si="17"/>
        <v>-2.2552941769615273</v>
      </c>
      <c r="N43" s="51">
        <f t="shared" si="18"/>
        <v>2.2552941769615202</v>
      </c>
      <c r="O43" s="9">
        <f>J43-J$38</f>
        <v>0</v>
      </c>
      <c r="P43" s="11">
        <f t="shared" si="20"/>
        <v>64.759169234943087</v>
      </c>
      <c r="Q43" s="62">
        <f t="shared" si="30"/>
        <v>-2.5096712449994385</v>
      </c>
      <c r="R43" s="3">
        <f t="shared" si="21"/>
        <v>81.629544606668674</v>
      </c>
      <c r="S43" s="3">
        <f t="shared" si="22"/>
        <v>39.59726332693257</v>
      </c>
      <c r="T43" s="2">
        <f t="shared" si="23"/>
        <v>0</v>
      </c>
      <c r="AG43" s="128">
        <f t="shared" si="31"/>
        <v>155</v>
      </c>
      <c r="AH43" s="128">
        <f t="shared" si="32"/>
        <v>-2.2552941769615273</v>
      </c>
      <c r="AI43" s="128">
        <f t="shared" si="33"/>
        <v>2.2552941769615202</v>
      </c>
      <c r="AJ43" s="128">
        <f t="shared" si="34"/>
        <v>0</v>
      </c>
      <c r="AK43" s="128">
        <f t="shared" si="35"/>
        <v>-2.5096712449994385</v>
      </c>
      <c r="AM43" s="134">
        <f t="shared" si="36"/>
        <v>-3.125E-2</v>
      </c>
      <c r="AN43" s="135">
        <f t="shared" si="25"/>
        <v>-3.3486867026411349E-2</v>
      </c>
      <c r="AO43" s="135">
        <f t="shared" si="26"/>
        <v>5.1535748765754175E-2</v>
      </c>
      <c r="AP43" s="135">
        <f t="shared" si="27"/>
        <v>0</v>
      </c>
      <c r="AQ43" s="134">
        <f t="shared" si="37"/>
        <v>-4.1827854083324012E-2</v>
      </c>
    </row>
    <row r="44" spans="1:45" s="12" customFormat="1" ht="16.5" customHeight="1">
      <c r="B44" s="5"/>
      <c r="C44" s="19" t="s">
        <v>24</v>
      </c>
      <c r="D44" s="19"/>
      <c r="E44" s="19"/>
      <c r="F44" s="5"/>
      <c r="G44" s="13"/>
      <c r="H44" s="13"/>
      <c r="I44" s="13"/>
      <c r="K44" s="13"/>
      <c r="M44" s="13"/>
      <c r="N44" s="13"/>
      <c r="O44" s="13"/>
      <c r="P44" s="14"/>
      <c r="Q44" s="13"/>
      <c r="R44" s="13"/>
      <c r="S44" s="13"/>
      <c r="T44" s="13"/>
      <c r="U44" s="13"/>
      <c r="V44" s="13"/>
      <c r="AG44" s="127"/>
      <c r="AH44" s="126"/>
      <c r="AI44" s="126"/>
      <c r="AJ44" s="126"/>
      <c r="AK44" s="127"/>
    </row>
    <row r="45" spans="1:45">
      <c r="A45" s="15" t="s">
        <v>153</v>
      </c>
      <c r="AG45" s="127"/>
      <c r="AH45" s="126"/>
      <c r="AI45" s="126"/>
      <c r="AJ45" s="126"/>
      <c r="AK45" s="127"/>
    </row>
    <row r="46" spans="1:45" ht="30.75" customHeight="1">
      <c r="A46" s="20"/>
      <c r="B46" s="20"/>
      <c r="C46" s="20"/>
      <c r="D46" s="20"/>
      <c r="E46" s="20"/>
      <c r="F46" s="20"/>
      <c r="G46" s="12"/>
      <c r="M46" s="236" t="s">
        <v>14</v>
      </c>
      <c r="N46" s="237"/>
      <c r="V46" s="5"/>
    </row>
    <row r="47" spans="1:45" s="27" customFormat="1" ht="137.25">
      <c r="B47" s="28" t="s">
        <v>12</v>
      </c>
      <c r="C47" s="28" t="s">
        <v>8</v>
      </c>
      <c r="D47" s="29" t="s">
        <v>42</v>
      </c>
      <c r="E47" s="28" t="s">
        <v>3</v>
      </c>
      <c r="F47" s="28" t="s">
        <v>4</v>
      </c>
      <c r="G47" s="28" t="s">
        <v>41</v>
      </c>
      <c r="H47" s="28" t="s">
        <v>1</v>
      </c>
      <c r="I47" s="55" t="s">
        <v>80</v>
      </c>
      <c r="J47" s="28" t="s">
        <v>6</v>
      </c>
      <c r="K47" s="28" t="s">
        <v>5</v>
      </c>
      <c r="L47" s="31" t="s">
        <v>49</v>
      </c>
      <c r="M47" s="31" t="s">
        <v>112</v>
      </c>
      <c r="N47" s="28" t="s">
        <v>18</v>
      </c>
      <c r="O47" s="28" t="s">
        <v>19</v>
      </c>
      <c r="P47" s="32" t="s">
        <v>25</v>
      </c>
      <c r="Q47" s="28" t="s">
        <v>27</v>
      </c>
      <c r="R47" s="33" t="s">
        <v>26</v>
      </c>
      <c r="S47" s="28" t="s">
        <v>28</v>
      </c>
      <c r="T47" s="28" t="s">
        <v>33</v>
      </c>
      <c r="U47" s="28" t="s">
        <v>34</v>
      </c>
      <c r="V47" s="28" t="s">
        <v>30</v>
      </c>
      <c r="W47" s="28" t="s">
        <v>43</v>
      </c>
      <c r="X47" s="29" t="s">
        <v>29</v>
      </c>
      <c r="Y47" s="28" t="s">
        <v>32</v>
      </c>
      <c r="Z47" s="30" t="s">
        <v>31</v>
      </c>
      <c r="AA47" s="30" t="s">
        <v>35</v>
      </c>
      <c r="AB47" s="28" t="s">
        <v>36</v>
      </c>
      <c r="AC47" s="30" t="s">
        <v>37</v>
      </c>
      <c r="AD47" s="30" t="s">
        <v>48</v>
      </c>
      <c r="AE47" s="34" t="s">
        <v>38</v>
      </c>
      <c r="AG47" s="28" t="str">
        <f>F47</f>
        <v>span (cm)</v>
      </c>
      <c r="AH47" s="28" t="s">
        <v>113</v>
      </c>
      <c r="AI47" s="28" t="s">
        <v>114</v>
      </c>
      <c r="AJ47" s="28" t="s">
        <v>115</v>
      </c>
      <c r="AK47" s="28" t="str">
        <f t="shared" ref="AK47:AK58" si="61">Q32</f>
        <v>distance to move stretcher to stern (cm)</v>
      </c>
      <c r="AM47" s="28" t="str">
        <f>AG47</f>
        <v>span (cm)</v>
      </c>
      <c r="AN47" s="28" t="str">
        <f t="shared" ref="AN47" si="62">AH47</f>
        <v>Change in catch angle (deg)</v>
      </c>
      <c r="AO47" s="28" t="str">
        <f t="shared" ref="AO47" si="63">AI47</f>
        <v>Change in finish angle (deg)</v>
      </c>
      <c r="AP47" s="28" t="str">
        <f t="shared" ref="AP47" si="64">AJ47</f>
        <v>Change in sweep angle (deg)</v>
      </c>
      <c r="AQ47" s="28" t="str">
        <f t="shared" ref="AQ47" si="65">AK47</f>
        <v>distance to move stretcher to stern (cm)</v>
      </c>
      <c r="AS47" s="136" t="s">
        <v>170</v>
      </c>
    </row>
    <row r="48" spans="1:45" s="27" customFormat="1">
      <c r="B48" s="20">
        <f>B33</f>
        <v>183</v>
      </c>
      <c r="C48" s="18">
        <f t="shared" ref="C48:C52" si="66">100*(0.297865*B48/100+1.08387)</f>
        <v>162.89629500000001</v>
      </c>
      <c r="D48" s="140">
        <f>D33</f>
        <v>30</v>
      </c>
      <c r="E48" s="63">
        <f t="shared" ref="E48:F48" si="67">E33</f>
        <v>88</v>
      </c>
      <c r="F48" s="63">
        <f t="shared" si="67"/>
        <v>165</v>
      </c>
      <c r="G48" s="63">
        <f t="shared" ref="G48:G52" si="68">(E48+2)*2 -F48</f>
        <v>15</v>
      </c>
      <c r="H48" s="3">
        <f>DEGREES(ACOS((F48-D48)/2/(E48+2)))</f>
        <v>41.409622109270856</v>
      </c>
      <c r="I48" s="51">
        <f t="shared" ref="I48:I54" si="69">H48-H$53</f>
        <v>-2.35212058340894</v>
      </c>
      <c r="J48" s="3"/>
      <c r="K48" s="21"/>
      <c r="L48" s="11">
        <f t="shared" ref="L48:L58" si="70">((F48-D48)/2)*TAN(RADIANS(H48))</f>
        <v>59.529404498953284</v>
      </c>
      <c r="M48" s="62">
        <f t="shared" ref="M48:M52" si="71">L$53-L48</f>
        <v>2.7200934909903651</v>
      </c>
      <c r="N48" s="21"/>
      <c r="O48" s="21"/>
      <c r="P48" s="23">
        <f>P$53</f>
        <v>1</v>
      </c>
      <c r="Q48" s="20">
        <f t="shared" ref="Q48:Q58" si="72">B48 *P48</f>
        <v>183</v>
      </c>
      <c r="R48" s="23">
        <f>R$53</f>
        <v>0.3</v>
      </c>
      <c r="S48" s="3">
        <f>Q48*R48</f>
        <v>54.9</v>
      </c>
      <c r="T48" s="3">
        <f>S48/2</f>
        <v>27.45</v>
      </c>
      <c r="U48" s="3">
        <f>U$53</f>
        <v>52.55</v>
      </c>
      <c r="V48" s="3"/>
      <c r="W48" s="3">
        <f t="shared" ref="W48:W52" si="73">COS(RADIANS(17))*((Q48-S48)/2 -8)</f>
        <v>53.600881571728131</v>
      </c>
      <c r="X48" s="92">
        <f t="shared" ref="X48:X51" si="74">X$53+M48</f>
        <v>35.250335745815455</v>
      </c>
      <c r="Y48" s="3">
        <f>SQRT(X48*X48+U48*U48)</f>
        <v>63.277868723533309</v>
      </c>
      <c r="Z48" s="9">
        <f>DEGREES(ASIN(X48/Y48))</f>
        <v>33.853555389782073</v>
      </c>
      <c r="AA48" s="9">
        <f t="shared" ref="AA48:AA58" si="75">DEGREES(ACOS(((E48+2)*(E48+2)+(Y48*Y48)-(W48*W48))/(2*(E48+2)*(Y48))))</f>
        <v>35.860118561827903</v>
      </c>
      <c r="AB48" s="4">
        <f t="shared" ref="AB48:AB58" si="76">Z48+AA48</f>
        <v>69.713673951609977</v>
      </c>
      <c r="AC48" s="51">
        <f t="shared" ref="AC48:AC58" si="77">AB48-AB$53</f>
        <v>2.3650570988372124</v>
      </c>
      <c r="AD48" s="51">
        <f>AB48+H48</f>
        <v>111.12329606088083</v>
      </c>
      <c r="AE48" s="64">
        <f t="shared" ref="AE48:AE52" si="78">AD48-J$53</f>
        <v>1.2936515428265238E-2</v>
      </c>
      <c r="AG48" s="128">
        <f>F48</f>
        <v>165</v>
      </c>
      <c r="AH48" s="128">
        <f t="shared" ref="AH48:AH58" si="79">AC48</f>
        <v>2.3650570988372124</v>
      </c>
      <c r="AI48" s="128">
        <f t="shared" ref="AI48:AI58" si="80">I48</f>
        <v>-2.35212058340894</v>
      </c>
      <c r="AJ48" s="128">
        <f t="shared" ref="AJ48:AJ58" si="81">AE48</f>
        <v>1.2936515428265238E-2</v>
      </c>
      <c r="AK48" s="128">
        <f t="shared" si="61"/>
        <v>2.7200934909903651</v>
      </c>
      <c r="AM48" s="134">
        <f t="shared" ref="AM48:AM52" si="82">AG48/AG$53-1</f>
        <v>3.125E-2</v>
      </c>
      <c r="AN48" s="135">
        <f>AB48/AB$53-1</f>
        <v>3.5116639499922275E-2</v>
      </c>
      <c r="AO48" s="135">
        <f>H48/H$53-1</f>
        <v>-5.3748329903744674E-2</v>
      </c>
      <c r="AP48" s="134">
        <f>AD48/AD$53-1</f>
        <v>1.1642942639378262E-4</v>
      </c>
      <c r="AQ48" s="134">
        <f>(Q33+60)/(Q$38+60) -1</f>
        <v>4.5334891516506159E-2</v>
      </c>
      <c r="AS48" s="61">
        <f>L48+X48</f>
        <v>94.779740244768732</v>
      </c>
    </row>
    <row r="49" spans="1:45" s="27" customFormat="1">
      <c r="B49" s="20">
        <f t="shared" ref="B49:B58" si="83">B34</f>
        <v>183</v>
      </c>
      <c r="C49" s="18">
        <f t="shared" si="66"/>
        <v>162.89629500000001</v>
      </c>
      <c r="D49" s="140">
        <f t="shared" ref="D49:F49" si="84">D34</f>
        <v>30</v>
      </c>
      <c r="E49" s="63">
        <f t="shared" si="84"/>
        <v>88</v>
      </c>
      <c r="F49" s="63">
        <f t="shared" si="84"/>
        <v>164</v>
      </c>
      <c r="G49" s="63">
        <f t="shared" si="68"/>
        <v>16</v>
      </c>
      <c r="H49" s="3">
        <f>DEGREES(ACOS((F49-D49)/2/(E49+2)))</f>
        <v>41.888596915041013</v>
      </c>
      <c r="I49" s="51">
        <f t="shared" si="69"/>
        <v>-1.8731457776387828</v>
      </c>
      <c r="J49" s="3"/>
      <c r="K49" s="21"/>
      <c r="L49" s="11">
        <f t="shared" si="70"/>
        <v>60.091596750294457</v>
      </c>
      <c r="M49" s="62">
        <f t="shared" si="71"/>
        <v>2.1579012396491919</v>
      </c>
      <c r="N49" s="21"/>
      <c r="O49" s="21"/>
      <c r="P49" s="23">
        <f>P$53</f>
        <v>1</v>
      </c>
      <c r="Q49" s="20">
        <f t="shared" si="72"/>
        <v>183</v>
      </c>
      <c r="R49" s="23">
        <f>R$53</f>
        <v>0.3</v>
      </c>
      <c r="S49" s="3">
        <f t="shared" ref="S49:S52" si="85">Q49*R49</f>
        <v>54.9</v>
      </c>
      <c r="T49" s="3">
        <f t="shared" ref="T49:T52" si="86">S49/2</f>
        <v>27.45</v>
      </c>
      <c r="U49" s="3">
        <f>U$53</f>
        <v>52.55</v>
      </c>
      <c r="V49" s="3"/>
      <c r="W49" s="3">
        <f t="shared" si="73"/>
        <v>53.600881571728131</v>
      </c>
      <c r="X49" s="92">
        <f t="shared" si="74"/>
        <v>34.688143494474282</v>
      </c>
      <c r="Y49" s="3">
        <f>SQRT(X49*X49+U49*U49)</f>
        <v>62.966418026542037</v>
      </c>
      <c r="Z49" s="9">
        <f>DEGREES(ASIN(X49/Y49))</f>
        <v>33.428717389093777</v>
      </c>
      <c r="AA49" s="9">
        <f t="shared" si="75"/>
        <v>35.807308204245153</v>
      </c>
      <c r="AB49" s="4">
        <f t="shared" si="76"/>
        <v>69.236025593338923</v>
      </c>
      <c r="AC49" s="51">
        <f t="shared" si="77"/>
        <v>1.8874087405661584</v>
      </c>
      <c r="AD49" s="51">
        <f t="shared" ref="AD49:AD58" si="87">AB49+H49</f>
        <v>111.12462250837993</v>
      </c>
      <c r="AE49" s="64">
        <f t="shared" si="78"/>
        <v>1.42629629273614E-2</v>
      </c>
      <c r="AG49" s="128">
        <f t="shared" ref="AG49:AG58" si="88">F49</f>
        <v>164</v>
      </c>
      <c r="AH49" s="128">
        <f t="shared" si="79"/>
        <v>1.8874087405661584</v>
      </c>
      <c r="AI49" s="128">
        <f t="shared" si="80"/>
        <v>-1.8731457776387828</v>
      </c>
      <c r="AJ49" s="128">
        <f t="shared" si="81"/>
        <v>1.42629629273614E-2</v>
      </c>
      <c r="AK49" s="128">
        <f t="shared" si="61"/>
        <v>2.1579012396491919</v>
      </c>
      <c r="AM49" s="134">
        <f t="shared" si="82"/>
        <v>2.4999999999999911E-2</v>
      </c>
      <c r="AN49" s="135">
        <f t="shared" ref="AN49:AN58" si="89">AB49/AB$53-1</f>
        <v>2.8024461804347478E-2</v>
      </c>
      <c r="AO49" s="135">
        <f t="shared" ref="AO49:AO58" si="90">H49/H$53-1</f>
        <v>-4.2803272045016438E-2</v>
      </c>
      <c r="AP49" s="134">
        <f t="shared" ref="AP49:AP58" si="91">AD49/AD$53-1</f>
        <v>1.2836753463596473E-4</v>
      </c>
      <c r="AQ49" s="134">
        <f t="shared" ref="AQ49:AQ58" si="92">(Q34+60)/(Q$38+60) -1</f>
        <v>3.5965020660819969E-2</v>
      </c>
      <c r="AS49" s="61">
        <f t="shared" ref="AS49:AS58" si="93">L49+X49</f>
        <v>94.779740244768732</v>
      </c>
    </row>
    <row r="50" spans="1:45" s="27" customFormat="1">
      <c r="B50" s="20">
        <f t="shared" si="83"/>
        <v>183</v>
      </c>
      <c r="C50" s="18">
        <f t="shared" si="66"/>
        <v>162.89629500000001</v>
      </c>
      <c r="D50" s="140">
        <f t="shared" ref="D50:F50" si="94">D35</f>
        <v>30</v>
      </c>
      <c r="E50" s="63">
        <f t="shared" si="94"/>
        <v>88</v>
      </c>
      <c r="F50" s="63">
        <f t="shared" si="94"/>
        <v>163</v>
      </c>
      <c r="G50" s="63">
        <f t="shared" si="68"/>
        <v>17</v>
      </c>
      <c r="H50" s="3">
        <f>DEGREES(ACOS((F50-D50)/2/(E50+2)))</f>
        <v>42.363148226263284</v>
      </c>
      <c r="I50" s="51">
        <f t="shared" si="69"/>
        <v>-1.3985944664165118</v>
      </c>
      <c r="J50" s="3"/>
      <c r="K50" s="21"/>
      <c r="L50" s="11">
        <f t="shared" si="70"/>
        <v>60.64445564105592</v>
      </c>
      <c r="M50" s="62">
        <f t="shared" si="71"/>
        <v>1.6050423488877286</v>
      </c>
      <c r="N50" s="21"/>
      <c r="O50" s="21"/>
      <c r="P50" s="23">
        <f>P$53</f>
        <v>1</v>
      </c>
      <c r="Q50" s="20">
        <f t="shared" si="72"/>
        <v>183</v>
      </c>
      <c r="R50" s="23">
        <f>R$53</f>
        <v>0.3</v>
      </c>
      <c r="S50" s="3">
        <f t="shared" si="85"/>
        <v>54.9</v>
      </c>
      <c r="T50" s="3">
        <f t="shared" si="86"/>
        <v>27.45</v>
      </c>
      <c r="U50" s="3">
        <f>U$53</f>
        <v>52.55</v>
      </c>
      <c r="V50" s="3"/>
      <c r="W50" s="3">
        <f t="shared" si="73"/>
        <v>53.600881571728131</v>
      </c>
      <c r="X50" s="92">
        <f t="shared" si="74"/>
        <v>34.135284603712819</v>
      </c>
      <c r="Y50" s="3">
        <f t="shared" ref="Y50:Y52" si="95">SQRT(X50*X50+U50*U50)</f>
        <v>62.663547258166552</v>
      </c>
      <c r="Z50" s="9">
        <f t="shared" ref="Z50:Z52" si="96">DEGREES(ASIN(X50/Y50))</f>
        <v>33.006836734566335</v>
      </c>
      <c r="AA50" s="9">
        <f t="shared" si="75"/>
        <v>35.753765984676228</v>
      </c>
      <c r="AB50" s="4">
        <f t="shared" si="76"/>
        <v>68.76060271924257</v>
      </c>
      <c r="AC50" s="51">
        <f t="shared" si="77"/>
        <v>1.4119858664698057</v>
      </c>
      <c r="AD50" s="51">
        <f t="shared" si="87"/>
        <v>111.12375094550586</v>
      </c>
      <c r="AE50" s="64">
        <f t="shared" si="78"/>
        <v>1.3391400053293978E-2</v>
      </c>
      <c r="AG50" s="128">
        <f t="shared" si="88"/>
        <v>163</v>
      </c>
      <c r="AH50" s="128">
        <f t="shared" si="79"/>
        <v>1.4119858664698057</v>
      </c>
      <c r="AI50" s="128">
        <f t="shared" si="80"/>
        <v>-1.3985944664165118</v>
      </c>
      <c r="AJ50" s="128">
        <f t="shared" si="81"/>
        <v>1.3391400053293978E-2</v>
      </c>
      <c r="AK50" s="128">
        <f t="shared" si="61"/>
        <v>1.6050423488877286</v>
      </c>
      <c r="AM50" s="134">
        <f t="shared" si="82"/>
        <v>1.8750000000000044E-2</v>
      </c>
      <c r="AN50" s="135">
        <f t="shared" si="89"/>
        <v>2.0965328353460766E-2</v>
      </c>
      <c r="AO50" s="135">
        <f t="shared" si="90"/>
        <v>-3.1959295502426599E-2</v>
      </c>
      <c r="AP50" s="134">
        <f t="shared" si="91"/>
        <v>1.2052341571111569E-4</v>
      </c>
      <c r="AQ50" s="134">
        <f t="shared" si="92"/>
        <v>2.675070581479555E-2</v>
      </c>
      <c r="AS50" s="61">
        <f t="shared" si="93"/>
        <v>94.779740244768732</v>
      </c>
    </row>
    <row r="51" spans="1:45" s="27" customFormat="1">
      <c r="B51" s="20">
        <f t="shared" si="83"/>
        <v>183</v>
      </c>
      <c r="C51" s="18">
        <f t="shared" si="66"/>
        <v>162.89629500000001</v>
      </c>
      <c r="D51" s="140">
        <f t="shared" ref="D51:F51" si="97">D36</f>
        <v>30</v>
      </c>
      <c r="E51" s="63">
        <f t="shared" si="97"/>
        <v>88</v>
      </c>
      <c r="F51" s="63">
        <f t="shared" si="97"/>
        <v>162</v>
      </c>
      <c r="G51" s="63">
        <f t="shared" si="68"/>
        <v>18</v>
      </c>
      <c r="H51" s="3">
        <f>DEGREES(ACOS((F51-D51)/2/(E51+2)))</f>
        <v>42.833428066067256</v>
      </c>
      <c r="I51" s="51">
        <f t="shared" si="69"/>
        <v>-0.92831462661253994</v>
      </c>
      <c r="J51" s="3"/>
      <c r="K51" s="21"/>
      <c r="L51" s="11">
        <f t="shared" si="70"/>
        <v>61.188234163113428</v>
      </c>
      <c r="M51" s="62">
        <f t="shared" si="71"/>
        <v>1.0612638268302206</v>
      </c>
      <c r="N51" s="21"/>
      <c r="O51" s="21"/>
      <c r="P51" s="23">
        <f>P$53</f>
        <v>1</v>
      </c>
      <c r="Q51" s="20">
        <f t="shared" si="72"/>
        <v>183</v>
      </c>
      <c r="R51" s="23">
        <f>R$53</f>
        <v>0.3</v>
      </c>
      <c r="S51" s="3">
        <f t="shared" si="85"/>
        <v>54.9</v>
      </c>
      <c r="T51" s="3">
        <f t="shared" si="86"/>
        <v>27.45</v>
      </c>
      <c r="U51" s="3">
        <f>U$53</f>
        <v>52.55</v>
      </c>
      <c r="V51" s="3"/>
      <c r="W51" s="3">
        <f t="shared" si="73"/>
        <v>53.600881571728131</v>
      </c>
      <c r="X51" s="92">
        <f t="shared" si="74"/>
        <v>33.591506081655311</v>
      </c>
      <c r="Y51" s="3">
        <f t="shared" si="95"/>
        <v>62.368996952282998</v>
      </c>
      <c r="Z51" s="9">
        <f t="shared" si="96"/>
        <v>32.587910520446883</v>
      </c>
      <c r="AA51" s="9">
        <f t="shared" si="75"/>
        <v>35.699589170884799</v>
      </c>
      <c r="AB51" s="4">
        <f t="shared" si="76"/>
        <v>68.287499691331675</v>
      </c>
      <c r="AC51" s="51">
        <f t="shared" si="77"/>
        <v>0.93888283855891075</v>
      </c>
      <c r="AD51" s="51">
        <f t="shared" si="87"/>
        <v>111.12092775739893</v>
      </c>
      <c r="AE51" s="64">
        <f t="shared" si="78"/>
        <v>1.0568211946363704E-2</v>
      </c>
      <c r="AG51" s="128">
        <f t="shared" si="88"/>
        <v>162</v>
      </c>
      <c r="AH51" s="128">
        <f t="shared" si="79"/>
        <v>0.93888283855891075</v>
      </c>
      <c r="AI51" s="128">
        <f t="shared" si="80"/>
        <v>-0.92831462661253994</v>
      </c>
      <c r="AJ51" s="128">
        <f t="shared" si="81"/>
        <v>1.0568211946363704E-2</v>
      </c>
      <c r="AK51" s="128">
        <f t="shared" si="61"/>
        <v>1.0612638268302206</v>
      </c>
      <c r="AM51" s="134">
        <f t="shared" si="82"/>
        <v>1.2499999999999956E-2</v>
      </c>
      <c r="AN51" s="135">
        <f t="shared" si="89"/>
        <v>1.3940640245238445E-2</v>
      </c>
      <c r="AO51" s="135">
        <f t="shared" si="90"/>
        <v>-2.1212926393989862E-2</v>
      </c>
      <c r="AP51" s="134">
        <f t="shared" si="91"/>
        <v>9.5114550880959214E-5</v>
      </c>
      <c r="AQ51" s="134">
        <f t="shared" si="92"/>
        <v>1.7687730447170313E-2</v>
      </c>
      <c r="AS51" s="61">
        <f t="shared" si="93"/>
        <v>94.779740244768732</v>
      </c>
    </row>
    <row r="52" spans="1:45" s="27" customFormat="1">
      <c r="B52" s="20">
        <f t="shared" si="83"/>
        <v>183</v>
      </c>
      <c r="C52" s="18">
        <f t="shared" si="66"/>
        <v>162.89629500000001</v>
      </c>
      <c r="D52" s="140">
        <f t="shared" ref="D52:F52" si="98">D37</f>
        <v>30</v>
      </c>
      <c r="E52" s="63">
        <f t="shared" si="98"/>
        <v>88</v>
      </c>
      <c r="F52" s="63">
        <f t="shared" si="98"/>
        <v>161</v>
      </c>
      <c r="G52" s="63">
        <f t="shared" si="68"/>
        <v>19</v>
      </c>
      <c r="H52" s="3">
        <f t="shared" ref="H52" si="99">DEGREES(ACOS((F52-D52)/2/(E52+2)))</f>
        <v>43.299580599094426</v>
      </c>
      <c r="I52" s="51">
        <f t="shared" si="69"/>
        <v>-0.46216209358536986</v>
      </c>
      <c r="J52" s="3"/>
      <c r="K52" s="21"/>
      <c r="L52" s="11">
        <f t="shared" si="70"/>
        <v>61.723172309919413</v>
      </c>
      <c r="M52" s="62">
        <f t="shared" si="71"/>
        <v>0.52632568002423596</v>
      </c>
      <c r="N52" s="21"/>
      <c r="O52" s="21"/>
      <c r="P52" s="23">
        <f>P$53</f>
        <v>1</v>
      </c>
      <c r="Q52" s="20">
        <f t="shared" si="72"/>
        <v>183</v>
      </c>
      <c r="R52" s="23">
        <f>R$53</f>
        <v>0.3</v>
      </c>
      <c r="S52" s="3">
        <f t="shared" si="85"/>
        <v>54.9</v>
      </c>
      <c r="T52" s="3">
        <f t="shared" si="86"/>
        <v>27.45</v>
      </c>
      <c r="U52" s="3">
        <f>U$53</f>
        <v>52.55</v>
      </c>
      <c r="V52" s="3"/>
      <c r="W52" s="3">
        <f t="shared" si="73"/>
        <v>53.600881571728131</v>
      </c>
      <c r="X52" s="92">
        <f>X$53+M52</f>
        <v>33.056567934849326</v>
      </c>
      <c r="Y52" s="3">
        <f t="shared" si="95"/>
        <v>62.082519146949153</v>
      </c>
      <c r="Z52" s="9">
        <f t="shared" si="96"/>
        <v>32.171937995751563</v>
      </c>
      <c r="AA52" s="9">
        <f t="shared" si="75"/>
        <v>35.644870117441016</v>
      </c>
      <c r="AB52" s="4">
        <f t="shared" si="76"/>
        <v>67.816808113192579</v>
      </c>
      <c r="AC52" s="51">
        <f t="shared" si="77"/>
        <v>0.46819126041981463</v>
      </c>
      <c r="AD52" s="51">
        <f t="shared" si="87"/>
        <v>111.11638871228701</v>
      </c>
      <c r="AE52" s="64">
        <f t="shared" si="78"/>
        <v>6.0291668344376603E-3</v>
      </c>
      <c r="AG52" s="128">
        <f t="shared" si="88"/>
        <v>161</v>
      </c>
      <c r="AH52" s="128">
        <f t="shared" si="79"/>
        <v>0.46819126041981463</v>
      </c>
      <c r="AI52" s="128">
        <f t="shared" si="80"/>
        <v>-0.46216209358536986</v>
      </c>
      <c r="AJ52" s="128">
        <f t="shared" si="81"/>
        <v>6.0291668344376603E-3</v>
      </c>
      <c r="AK52" s="128">
        <f t="shared" si="61"/>
        <v>0.52632568002423596</v>
      </c>
      <c r="AM52" s="134">
        <f t="shared" si="82"/>
        <v>6.2500000000000888E-3</v>
      </c>
      <c r="AN52" s="135">
        <f t="shared" si="89"/>
        <v>6.9517576202537956E-3</v>
      </c>
      <c r="AO52" s="135">
        <f t="shared" si="90"/>
        <v>-1.0560870412107182E-2</v>
      </c>
      <c r="AP52" s="134">
        <f t="shared" si="91"/>
        <v>5.4262868549148635E-5</v>
      </c>
      <c r="AQ52" s="134">
        <f t="shared" si="92"/>
        <v>8.772094667070629E-3</v>
      </c>
      <c r="AS52" s="61">
        <f t="shared" si="93"/>
        <v>94.779740244768732</v>
      </c>
    </row>
    <row r="53" spans="1:45" s="15" customFormat="1">
      <c r="B53" s="38">
        <f t="shared" si="83"/>
        <v>183</v>
      </c>
      <c r="C53" s="37">
        <f>100*(0.297865*B53/100+1.08387)</f>
        <v>162.89629500000001</v>
      </c>
      <c r="D53" s="159">
        <f t="shared" ref="D53:F53" si="100">D38</f>
        <v>30</v>
      </c>
      <c r="E53" s="40">
        <f t="shared" si="100"/>
        <v>88</v>
      </c>
      <c r="F53" s="40">
        <f t="shared" si="100"/>
        <v>160</v>
      </c>
      <c r="G53" s="40">
        <f>(E53+2)*2 -F53</f>
        <v>20</v>
      </c>
      <c r="H53" s="39">
        <f>DEGREES(ACOS((F53-D53)/2/(E53+2)))</f>
        <v>43.761742692679796</v>
      </c>
      <c r="I53" s="70">
        <f t="shared" si="69"/>
        <v>0</v>
      </c>
      <c r="J53" s="52">
        <f>DEGREES(C53/(E53-6+2))</f>
        <v>111.11035954545257</v>
      </c>
      <c r="K53" s="39">
        <f>J53-H53</f>
        <v>67.348616852772778</v>
      </c>
      <c r="L53" s="41">
        <f t="shared" si="70"/>
        <v>62.249497989943649</v>
      </c>
      <c r="M53" s="41">
        <f>L$53-L53</f>
        <v>0</v>
      </c>
      <c r="N53" s="39">
        <f>(E53+2)*SIN(RADIANS(K53))</f>
        <v>83.057868711361749</v>
      </c>
      <c r="O53" s="39">
        <f>(F53/2)- (E53+2)*COS(RADIANS(K53))</f>
        <v>45.338920312168661</v>
      </c>
      <c r="P53" s="42">
        <v>1</v>
      </c>
      <c r="Q53" s="43">
        <f t="shared" si="72"/>
        <v>183</v>
      </c>
      <c r="R53" s="42">
        <v>0.3</v>
      </c>
      <c r="S53" s="39">
        <f>Q53*R53</f>
        <v>54.9</v>
      </c>
      <c r="T53" s="39">
        <f>S53/2</f>
        <v>27.45</v>
      </c>
      <c r="U53" s="39">
        <f>F53/2 -S53/2</f>
        <v>52.55</v>
      </c>
      <c r="V53" s="39">
        <f>O53-T53</f>
        <v>17.888920312168661</v>
      </c>
      <c r="W53" s="39">
        <f>COS(RADIANS(17))*((Q53-S53)/2-8)</f>
        <v>53.600881571728131</v>
      </c>
      <c r="X53" s="40">
        <f xml:space="preserve"> N53- SQRT(W53*W53-V53*V53)</f>
        <v>32.53024225482509</v>
      </c>
      <c r="Y53" s="39">
        <f>SQRT(X53*X53+U53*U53)</f>
        <v>61.803876586809722</v>
      </c>
      <c r="Z53" s="44">
        <f>DEGREES(ASIN(X53/Y53))</f>
        <v>31.75892033135543</v>
      </c>
      <c r="AA53" s="70">
        <f t="shared" ref="AA53" si="101">DEGREES(ACOS(((E53+2)*(E53+2)+(Y53*Y53)-(W53*W53))/(2*(E53+2)*(Y53))))</f>
        <v>35.589696521417338</v>
      </c>
      <c r="AB53" s="52">
        <f t="shared" si="76"/>
        <v>67.348616852772764</v>
      </c>
      <c r="AC53" s="70">
        <f t="shared" si="77"/>
        <v>0</v>
      </c>
      <c r="AD53" s="70">
        <f t="shared" si="87"/>
        <v>111.11035954545255</v>
      </c>
      <c r="AE53" s="71">
        <f>AD53-J$53</f>
        <v>0</v>
      </c>
      <c r="AG53" s="148">
        <f t="shared" si="88"/>
        <v>160</v>
      </c>
      <c r="AH53" s="148">
        <f t="shared" si="79"/>
        <v>0</v>
      </c>
      <c r="AI53" s="148">
        <f t="shared" si="80"/>
        <v>0</v>
      </c>
      <c r="AJ53" s="148">
        <f t="shared" si="81"/>
        <v>0</v>
      </c>
      <c r="AK53" s="148">
        <f t="shared" si="61"/>
        <v>0</v>
      </c>
      <c r="AM53" s="150">
        <f>AG53/AG$53-1</f>
        <v>0</v>
      </c>
      <c r="AN53" s="151">
        <f t="shared" si="89"/>
        <v>0</v>
      </c>
      <c r="AO53" s="151">
        <f t="shared" si="90"/>
        <v>0</v>
      </c>
      <c r="AP53" s="150">
        <f t="shared" si="91"/>
        <v>0</v>
      </c>
      <c r="AQ53" s="150">
        <f t="shared" si="92"/>
        <v>0</v>
      </c>
      <c r="AS53" s="61">
        <f t="shared" si="93"/>
        <v>94.779740244768732</v>
      </c>
    </row>
    <row r="54" spans="1:45">
      <c r="B54" s="20">
        <f t="shared" si="83"/>
        <v>183</v>
      </c>
      <c r="C54" s="18">
        <f t="shared" ref="C54:C58" si="102">100*(0.297865*B54/100+1.08387)</f>
        <v>162.89629500000001</v>
      </c>
      <c r="D54" s="140">
        <f t="shared" ref="D54:F54" si="103">D39</f>
        <v>30</v>
      </c>
      <c r="E54" s="63">
        <f t="shared" si="103"/>
        <v>88</v>
      </c>
      <c r="F54" s="63">
        <f t="shared" si="103"/>
        <v>159</v>
      </c>
      <c r="G54" s="63">
        <f t="shared" ref="G54:G58" si="104">(E54+2)*2 -F54</f>
        <v>21</v>
      </c>
      <c r="H54" s="3">
        <f>DEGREES(ACOS((F54-D54)/2/(E54+2)))</f>
        <v>44.220044427683412</v>
      </c>
      <c r="I54" s="51">
        <f t="shared" si="69"/>
        <v>0.45830173500361582</v>
      </c>
      <c r="J54" s="3"/>
      <c r="K54" s="21"/>
      <c r="L54" s="11">
        <f t="shared" si="70"/>
        <v>62.767427858723032</v>
      </c>
      <c r="M54" s="62">
        <f t="shared" ref="M54:M58" si="105">L$53-L54</f>
        <v>-0.51792986877938318</v>
      </c>
      <c r="N54" s="21"/>
      <c r="O54" s="21"/>
      <c r="P54" s="23">
        <f>P$53</f>
        <v>1</v>
      </c>
      <c r="Q54" s="20">
        <f t="shared" si="72"/>
        <v>183</v>
      </c>
      <c r="R54" s="23">
        <f>R$53</f>
        <v>0.3</v>
      </c>
      <c r="S54" s="3">
        <f>Q54*R54</f>
        <v>54.9</v>
      </c>
      <c r="T54" s="3">
        <f>S54/2</f>
        <v>27.45</v>
      </c>
      <c r="U54" s="3">
        <f>U$53</f>
        <v>52.55</v>
      </c>
      <c r="V54" s="3"/>
      <c r="W54" s="61">
        <f t="shared" ref="W54:W58" si="106">COS(RADIANS(17))*((Q54-S54)/2 -8)</f>
        <v>53.600881571728131</v>
      </c>
      <c r="X54" s="92">
        <f t="shared" ref="X54:X57" si="107">X$53+M54</f>
        <v>32.012312386045707</v>
      </c>
      <c r="Y54" s="3">
        <f>SQRT(X54*X54+U54*U54)</f>
        <v>61.532841997601373</v>
      </c>
      <c r="Z54" s="9">
        <f>DEGREES(ASIN(X54/Y54))</f>
        <v>31.348860407428131</v>
      </c>
      <c r="AA54" s="9">
        <f t="shared" si="75"/>
        <v>35.534151656056331</v>
      </c>
      <c r="AB54" s="4">
        <f t="shared" si="76"/>
        <v>66.883012063484458</v>
      </c>
      <c r="AC54" s="51">
        <f t="shared" si="77"/>
        <v>-0.46560478928830662</v>
      </c>
      <c r="AD54" s="51">
        <f t="shared" si="87"/>
        <v>111.10305649116788</v>
      </c>
      <c r="AE54" s="64">
        <f t="shared" ref="AE54:AE58" si="108">AD54-J$53</f>
        <v>-7.303054284690802E-3</v>
      </c>
      <c r="AG54" s="128">
        <f t="shared" si="88"/>
        <v>159</v>
      </c>
      <c r="AH54" s="128">
        <f t="shared" si="79"/>
        <v>-0.46560478928830662</v>
      </c>
      <c r="AI54" s="128">
        <f t="shared" si="80"/>
        <v>0.45830173500361582</v>
      </c>
      <c r="AJ54" s="128">
        <f t="shared" si="81"/>
        <v>-7.303054284690802E-3</v>
      </c>
      <c r="AK54" s="128">
        <f t="shared" si="61"/>
        <v>-0.51792986877938318</v>
      </c>
      <c r="AM54" s="134">
        <f t="shared" ref="AM54:AM58" si="109">AG54/AG$53-1</f>
        <v>-6.2499999999999778E-3</v>
      </c>
      <c r="AN54" s="135">
        <f t="shared" si="89"/>
        <v>-6.9133533997608465E-3</v>
      </c>
      <c r="AO54" s="135">
        <f t="shared" si="90"/>
        <v>1.0472657321306311E-2</v>
      </c>
      <c r="AP54" s="134">
        <f t="shared" si="91"/>
        <v>-6.5727933151848994E-5</v>
      </c>
      <c r="AQ54" s="134">
        <f t="shared" si="92"/>
        <v>-8.6321644796564234E-3</v>
      </c>
      <c r="AS54" s="61">
        <f t="shared" si="93"/>
        <v>94.779740244768732</v>
      </c>
    </row>
    <row r="55" spans="1:45">
      <c r="B55" s="20">
        <f t="shared" si="83"/>
        <v>183</v>
      </c>
      <c r="C55" s="18">
        <f t="shared" si="102"/>
        <v>162.89629500000001</v>
      </c>
      <c r="D55" s="140">
        <f t="shared" ref="D55:F55" si="110">D40</f>
        <v>30</v>
      </c>
      <c r="E55" s="63">
        <f t="shared" si="110"/>
        <v>88</v>
      </c>
      <c r="F55" s="63">
        <f t="shared" si="110"/>
        <v>158</v>
      </c>
      <c r="G55" s="63">
        <f t="shared" si="104"/>
        <v>22</v>
      </c>
      <c r="H55" s="3">
        <f>DEGREES(ACOS((F55-D55)/2/(E55+2)))</f>
        <v>44.674609564383559</v>
      </c>
      <c r="I55" s="51">
        <f t="shared" ref="I55:I57" si="111">H55-H$53</f>
        <v>0.91286687170376268</v>
      </c>
      <c r="J55" s="3"/>
      <c r="K55" s="21"/>
      <c r="L55" s="11">
        <f t="shared" si="70"/>
        <v>63.277168078225486</v>
      </c>
      <c r="M55" s="62">
        <f t="shared" si="105"/>
        <v>-1.0276700882818375</v>
      </c>
      <c r="N55" s="21"/>
      <c r="O55" s="21"/>
      <c r="P55" s="23">
        <f>P$53</f>
        <v>1</v>
      </c>
      <c r="Q55" s="20">
        <f t="shared" si="72"/>
        <v>183</v>
      </c>
      <c r="R55" s="23">
        <f>R$53</f>
        <v>0.3</v>
      </c>
      <c r="S55" s="3">
        <f t="shared" ref="S55:S58" si="112">Q55*R55</f>
        <v>54.9</v>
      </c>
      <c r="T55" s="3">
        <f t="shared" ref="T55:T58" si="113">S55/2</f>
        <v>27.45</v>
      </c>
      <c r="U55" s="3">
        <f>U$53</f>
        <v>52.55</v>
      </c>
      <c r="V55" s="3"/>
      <c r="W55" s="3">
        <f t="shared" si="106"/>
        <v>53.600881571728131</v>
      </c>
      <c r="X55" s="92">
        <f t="shared" si="107"/>
        <v>31.502572166543253</v>
      </c>
      <c r="Y55" s="3">
        <f>SQRT(X55*X55+U55*U55)</f>
        <v>61.269197425037859</v>
      </c>
      <c r="Z55" s="9">
        <f>DEGREES(ASIN(X55/Y55))</f>
        <v>30.941762619157267</v>
      </c>
      <c r="AA55" s="9">
        <f t="shared" si="75"/>
        <v>35.478314584984602</v>
      </c>
      <c r="AB55" s="4">
        <f t="shared" si="76"/>
        <v>66.420077204141876</v>
      </c>
      <c r="AC55" s="51">
        <f t="shared" si="77"/>
        <v>-0.92853964863088834</v>
      </c>
      <c r="AD55" s="51">
        <f t="shared" si="87"/>
        <v>111.09468676852543</v>
      </c>
      <c r="AE55" s="64">
        <f t="shared" si="108"/>
        <v>-1.5672776927132759E-2</v>
      </c>
      <c r="AG55" s="128">
        <f t="shared" si="88"/>
        <v>158</v>
      </c>
      <c r="AH55" s="128">
        <f t="shared" si="79"/>
        <v>-0.92853964863088834</v>
      </c>
      <c r="AI55" s="128">
        <f t="shared" si="80"/>
        <v>0.91286687170376268</v>
      </c>
      <c r="AJ55" s="128">
        <f t="shared" si="81"/>
        <v>-1.5672776927132759E-2</v>
      </c>
      <c r="AK55" s="128">
        <f t="shared" si="61"/>
        <v>-1.0276700882818375</v>
      </c>
      <c r="AM55" s="134">
        <f t="shared" si="109"/>
        <v>-1.2499999999999956E-2</v>
      </c>
      <c r="AN55" s="135">
        <f t="shared" si="89"/>
        <v>-1.3787063372967534E-2</v>
      </c>
      <c r="AO55" s="135">
        <f t="shared" si="90"/>
        <v>2.0859929599112093E-2</v>
      </c>
      <c r="AP55" s="134">
        <f t="shared" si="91"/>
        <v>-1.4105594645930086E-4</v>
      </c>
      <c r="AQ55" s="134">
        <f t="shared" si="92"/>
        <v>-1.7127834804697262E-2</v>
      </c>
      <c r="AS55" s="61">
        <f t="shared" si="93"/>
        <v>94.779740244768732</v>
      </c>
    </row>
    <row r="56" spans="1:45">
      <c r="B56" s="20">
        <f t="shared" si="83"/>
        <v>183</v>
      </c>
      <c r="C56" s="18">
        <f t="shared" si="102"/>
        <v>162.89629500000001</v>
      </c>
      <c r="D56" s="140">
        <f t="shared" ref="D56:F56" si="114">D41</f>
        <v>30</v>
      </c>
      <c r="E56" s="63">
        <f t="shared" si="114"/>
        <v>88</v>
      </c>
      <c r="F56" s="63">
        <f t="shared" si="114"/>
        <v>157</v>
      </c>
      <c r="G56" s="63">
        <f t="shared" si="104"/>
        <v>23</v>
      </c>
      <c r="H56" s="3">
        <f>DEGREES(ACOS((F56-D56)/2/(E56+2)))</f>
        <v>45.125555968169813</v>
      </c>
      <c r="I56" s="51">
        <f t="shared" si="111"/>
        <v>1.363813275490017</v>
      </c>
      <c r="J56" s="3"/>
      <c r="K56" s="21"/>
      <c r="L56" s="11">
        <f t="shared" si="70"/>
        <v>63.778915011153941</v>
      </c>
      <c r="M56" s="62">
        <f t="shared" si="105"/>
        <v>-1.5294170212102927</v>
      </c>
      <c r="N56" s="21"/>
      <c r="O56" s="21"/>
      <c r="P56" s="23">
        <f>P$53</f>
        <v>1</v>
      </c>
      <c r="Q56" s="20">
        <f t="shared" si="72"/>
        <v>183</v>
      </c>
      <c r="R56" s="23">
        <f>R$53</f>
        <v>0.3</v>
      </c>
      <c r="S56" s="3">
        <f t="shared" si="112"/>
        <v>54.9</v>
      </c>
      <c r="T56" s="3">
        <f t="shared" si="113"/>
        <v>27.45</v>
      </c>
      <c r="U56" s="3">
        <f>U$53</f>
        <v>52.55</v>
      </c>
      <c r="V56" s="3"/>
      <c r="W56" s="3">
        <f t="shared" si="106"/>
        <v>53.600881571728131</v>
      </c>
      <c r="X56" s="92">
        <f t="shared" si="107"/>
        <v>31.000825233614798</v>
      </c>
      <c r="Y56" s="3">
        <f t="shared" ref="Y56:Y58" si="115">SQRT(X56*X56+U56*U56)</f>
        <v>61.012733631309516</v>
      </c>
      <c r="Z56" s="9">
        <f t="shared" ref="Z56:Z58" si="116">DEGREES(ASIN(X56/Y56))</f>
        <v>30.537632698957676</v>
      </c>
      <c r="AA56" s="9">
        <f t="shared" si="75"/>
        <v>35.42226035922144</v>
      </c>
      <c r="AB56" s="4">
        <f t="shared" si="76"/>
        <v>65.959893058179119</v>
      </c>
      <c r="AC56" s="51">
        <f t="shared" si="77"/>
        <v>-1.3887237945936448</v>
      </c>
      <c r="AD56" s="51">
        <f t="shared" si="87"/>
        <v>111.08544902634893</v>
      </c>
      <c r="AE56" s="64">
        <f t="shared" si="108"/>
        <v>-2.4910519103642059E-2</v>
      </c>
      <c r="AG56" s="128">
        <f t="shared" si="88"/>
        <v>157</v>
      </c>
      <c r="AH56" s="128">
        <f t="shared" si="79"/>
        <v>-1.3887237945936448</v>
      </c>
      <c r="AI56" s="128">
        <f t="shared" si="80"/>
        <v>1.363813275490017</v>
      </c>
      <c r="AJ56" s="128">
        <f t="shared" si="81"/>
        <v>-2.4910519103642059E-2</v>
      </c>
      <c r="AK56" s="128">
        <f t="shared" si="61"/>
        <v>-1.5294170212102927</v>
      </c>
      <c r="AM56" s="134">
        <f t="shared" si="109"/>
        <v>-1.8750000000000044E-2</v>
      </c>
      <c r="AN56" s="135">
        <f t="shared" si="89"/>
        <v>-2.0619930437910217E-2</v>
      </c>
      <c r="AO56" s="135">
        <f t="shared" si="90"/>
        <v>3.1164510176559856E-2</v>
      </c>
      <c r="AP56" s="134">
        <f t="shared" si="91"/>
        <v>-2.2419618841607036E-4</v>
      </c>
      <c r="AQ56" s="134">
        <f t="shared" si="92"/>
        <v>-2.5490283686838255E-2</v>
      </c>
      <c r="AS56" s="61">
        <f t="shared" si="93"/>
        <v>94.779740244768732</v>
      </c>
    </row>
    <row r="57" spans="1:45">
      <c r="B57" s="20">
        <f t="shared" si="83"/>
        <v>183</v>
      </c>
      <c r="C57" s="18">
        <f t="shared" si="102"/>
        <v>162.89629500000001</v>
      </c>
      <c r="D57" s="140">
        <f t="shared" ref="D57:F57" si="117">D42</f>
        <v>30</v>
      </c>
      <c r="E57" s="63">
        <f t="shared" si="117"/>
        <v>88</v>
      </c>
      <c r="F57" s="63">
        <f t="shared" si="117"/>
        <v>156</v>
      </c>
      <c r="G57" s="63">
        <f t="shared" si="104"/>
        <v>24</v>
      </c>
      <c r="H57" s="3">
        <f>DEGREES(ACOS((F57-D57)/2/(E57+2)))</f>
        <v>45.572995999194291</v>
      </c>
      <c r="I57" s="51">
        <f t="shared" si="111"/>
        <v>1.8112533065144945</v>
      </c>
      <c r="J57" s="3"/>
      <c r="K57" s="21"/>
      <c r="L57" s="11">
        <f t="shared" si="70"/>
        <v>64.272855856885641</v>
      </c>
      <c r="M57" s="62">
        <f t="shared" si="105"/>
        <v>-2.0233578669419927</v>
      </c>
      <c r="N57" s="21"/>
      <c r="O57" s="21"/>
      <c r="P57" s="23">
        <f>P$53</f>
        <v>1</v>
      </c>
      <c r="Q57" s="20">
        <f t="shared" si="72"/>
        <v>183</v>
      </c>
      <c r="R57" s="23">
        <f>R$53</f>
        <v>0.3</v>
      </c>
      <c r="S57" s="3">
        <f t="shared" si="112"/>
        <v>54.9</v>
      </c>
      <c r="T57" s="3">
        <f t="shared" si="113"/>
        <v>27.45</v>
      </c>
      <c r="U57" s="3">
        <f>U$53</f>
        <v>52.55</v>
      </c>
      <c r="V57" s="3"/>
      <c r="W57" s="3">
        <f t="shared" si="106"/>
        <v>53.600881571728131</v>
      </c>
      <c r="X57" s="92">
        <f t="shared" si="107"/>
        <v>30.506884387883098</v>
      </c>
      <c r="Y57" s="3">
        <f t="shared" si="115"/>
        <v>60.763249543253238</v>
      </c>
      <c r="Z57" s="9">
        <f t="shared" si="116"/>
        <v>30.136477553586925</v>
      </c>
      <c r="AA57" s="9">
        <f t="shared" si="75"/>
        <v>35.366060198948574</v>
      </c>
      <c r="AB57" s="4">
        <f t="shared" si="76"/>
        <v>65.502537752535503</v>
      </c>
      <c r="AC57" s="51">
        <f t="shared" si="77"/>
        <v>-1.8460791002372616</v>
      </c>
      <c r="AD57" s="51">
        <f t="shared" si="87"/>
        <v>111.07553375172979</v>
      </c>
      <c r="AE57" s="64">
        <f t="shared" si="108"/>
        <v>-3.4825793722774279E-2</v>
      </c>
      <c r="AG57" s="128">
        <f t="shared" si="88"/>
        <v>156</v>
      </c>
      <c r="AH57" s="128">
        <f t="shared" si="79"/>
        <v>-1.8460791002372616</v>
      </c>
      <c r="AI57" s="128">
        <f t="shared" si="80"/>
        <v>1.8112533065144945</v>
      </c>
      <c r="AJ57" s="128">
        <f t="shared" si="81"/>
        <v>-3.4825793722774279E-2</v>
      </c>
      <c r="AK57" s="128">
        <f t="shared" si="61"/>
        <v>-2.0233578669419927</v>
      </c>
      <c r="AM57" s="134">
        <f t="shared" si="109"/>
        <v>-2.5000000000000022E-2</v>
      </c>
      <c r="AN57" s="135">
        <f t="shared" si="89"/>
        <v>-2.7410794556818829E-2</v>
      </c>
      <c r="AO57" s="135">
        <f t="shared" si="90"/>
        <v>4.1388966596558108E-2</v>
      </c>
      <c r="AP57" s="134">
        <f t="shared" si="91"/>
        <v>-3.1343426360275206E-4</v>
      </c>
      <c r="AQ57" s="134">
        <f t="shared" si="92"/>
        <v>-3.3722631115699842E-2</v>
      </c>
      <c r="AS57" s="61">
        <f t="shared" si="93"/>
        <v>94.779740244768732</v>
      </c>
    </row>
    <row r="58" spans="1:45">
      <c r="B58" s="20">
        <f t="shared" si="83"/>
        <v>183</v>
      </c>
      <c r="C58" s="91">
        <f t="shared" si="102"/>
        <v>162.89629500000001</v>
      </c>
      <c r="D58" s="140">
        <f t="shared" ref="D58:F58" si="118">D43</f>
        <v>30</v>
      </c>
      <c r="E58" s="63">
        <f t="shared" si="118"/>
        <v>88</v>
      </c>
      <c r="F58" s="63">
        <f t="shared" si="118"/>
        <v>155</v>
      </c>
      <c r="G58" s="94">
        <f t="shared" si="104"/>
        <v>25</v>
      </c>
      <c r="H58" s="92">
        <f t="shared" ref="H58" si="119">DEGREES(ACOS((F58-D58)/2/(E58+2)))</f>
        <v>46.017036869641316</v>
      </c>
      <c r="I58" s="93">
        <f>H58-H$53</f>
        <v>2.2552941769615202</v>
      </c>
      <c r="J58" s="92"/>
      <c r="K58" s="94"/>
      <c r="L58" s="95">
        <f t="shared" si="70"/>
        <v>64.759169234943087</v>
      </c>
      <c r="M58" s="62">
        <f t="shared" si="105"/>
        <v>-2.5096712449994385</v>
      </c>
      <c r="N58" s="94"/>
      <c r="O58" s="94"/>
      <c r="P58" s="96">
        <f>P$53</f>
        <v>1</v>
      </c>
      <c r="Q58" s="90">
        <f t="shared" si="72"/>
        <v>183</v>
      </c>
      <c r="R58" s="96">
        <f>R$53</f>
        <v>0.3</v>
      </c>
      <c r="S58" s="92">
        <f t="shared" si="112"/>
        <v>54.9</v>
      </c>
      <c r="T58" s="92">
        <f t="shared" si="113"/>
        <v>27.45</v>
      </c>
      <c r="U58" s="92">
        <f>U$53</f>
        <v>52.55</v>
      </c>
      <c r="V58" s="92"/>
      <c r="W58" s="92">
        <f t="shared" si="106"/>
        <v>53.600881571728131</v>
      </c>
      <c r="X58" s="92">
        <f>X$53+M58</f>
        <v>30.020571009825652</v>
      </c>
      <c r="Y58" s="92">
        <f t="shared" si="115"/>
        <v>60.520551746956045</v>
      </c>
      <c r="Z58" s="105">
        <f t="shared" si="116"/>
        <v>29.738305114774818</v>
      </c>
      <c r="AA58" s="9">
        <f t="shared" si="75"/>
        <v>35.309781661764291</v>
      </c>
      <c r="AB58" s="97">
        <f t="shared" si="76"/>
        <v>65.048086776539108</v>
      </c>
      <c r="AC58" s="93">
        <f t="shared" si="77"/>
        <v>-2.300530076233656</v>
      </c>
      <c r="AD58" s="93">
        <f t="shared" si="87"/>
        <v>111.06512364618042</v>
      </c>
      <c r="AE58" s="98">
        <f t="shared" si="108"/>
        <v>-4.5235899272142888E-2</v>
      </c>
      <c r="AG58" s="128">
        <f t="shared" si="88"/>
        <v>155</v>
      </c>
      <c r="AH58" s="128">
        <f t="shared" si="79"/>
        <v>-2.300530076233656</v>
      </c>
      <c r="AI58" s="128">
        <f t="shared" si="80"/>
        <v>2.2552941769615202</v>
      </c>
      <c r="AJ58" s="128">
        <f t="shared" si="81"/>
        <v>-4.5235899272142888E-2</v>
      </c>
      <c r="AK58" s="128">
        <f t="shared" si="61"/>
        <v>-2.5096712449994385</v>
      </c>
      <c r="AM58" s="134">
        <f t="shared" si="109"/>
        <v>-3.125E-2</v>
      </c>
      <c r="AN58" s="135">
        <f t="shared" si="89"/>
        <v>-3.4158534855477818E-2</v>
      </c>
      <c r="AO58" s="135">
        <f t="shared" si="90"/>
        <v>5.1535748765754175E-2</v>
      </c>
      <c r="AP58" s="134">
        <f t="shared" si="91"/>
        <v>-4.0712584728541668E-4</v>
      </c>
      <c r="AQ58" s="134">
        <f t="shared" si="92"/>
        <v>-4.1827854083324012E-2</v>
      </c>
      <c r="AS58" s="61">
        <f t="shared" si="93"/>
        <v>94.779740244768732</v>
      </c>
    </row>
    <row r="59" spans="1:45" s="87" customFormat="1" ht="28.5" customHeight="1" thickBot="1">
      <c r="C59" s="99" t="s">
        <v>24</v>
      </c>
      <c r="D59" s="99"/>
      <c r="E59" s="99"/>
      <c r="G59" s="100"/>
      <c r="H59" s="100"/>
      <c r="K59" s="100"/>
      <c r="M59" s="100"/>
      <c r="N59" s="100"/>
      <c r="O59" s="100"/>
      <c r="P59" s="101"/>
      <c r="Q59" s="100"/>
      <c r="R59" s="100"/>
      <c r="S59" s="100"/>
      <c r="T59" s="100"/>
      <c r="U59" s="100"/>
      <c r="V59" s="100"/>
    </row>
    <row r="60" spans="1:45">
      <c r="A60" s="15" t="s">
        <v>154</v>
      </c>
      <c r="R60" t="s">
        <v>15</v>
      </c>
      <c r="AG60" s="59" t="s">
        <v>110</v>
      </c>
      <c r="AH60" s="59"/>
      <c r="AI60" s="59"/>
      <c r="AJ60" s="59"/>
      <c r="AK60" s="59"/>
    </row>
    <row r="61" spans="1:45" s="59" customFormat="1" ht="21" customHeight="1">
      <c r="A61" s="60" t="s">
        <v>107</v>
      </c>
      <c r="B61" s="60">
        <v>0</v>
      </c>
      <c r="C61" s="2"/>
      <c r="D61" s="20" t="s">
        <v>108</v>
      </c>
      <c r="E61" s="60">
        <v>0</v>
      </c>
      <c r="F61" s="60">
        <v>1</v>
      </c>
      <c r="P61" s="2" t="s">
        <v>52</v>
      </c>
      <c r="Q61" s="2"/>
      <c r="R61" s="2"/>
      <c r="S61" s="137"/>
      <c r="T61" s="137"/>
      <c r="AM61" s="59" t="s">
        <v>111</v>
      </c>
    </row>
    <row r="62" spans="1:45" s="59" customFormat="1" ht="135">
      <c r="A62" s="27"/>
      <c r="B62" s="48" t="s">
        <v>12</v>
      </c>
      <c r="C62" s="48" t="s">
        <v>8</v>
      </c>
      <c r="D62" s="65" t="s">
        <v>42</v>
      </c>
      <c r="E62" s="28" t="s">
        <v>3</v>
      </c>
      <c r="F62" s="28" t="s">
        <v>4</v>
      </c>
      <c r="G62" s="141" t="s">
        <v>49</v>
      </c>
      <c r="H62" s="65" t="s">
        <v>42</v>
      </c>
      <c r="I62" s="66" t="s">
        <v>1</v>
      </c>
      <c r="J62" s="66" t="s">
        <v>6</v>
      </c>
      <c r="K62" s="66" t="s">
        <v>5</v>
      </c>
      <c r="L62" s="27"/>
      <c r="M62" s="66" t="s">
        <v>21</v>
      </c>
      <c r="N62" s="66" t="s">
        <v>20</v>
      </c>
      <c r="O62" s="66" t="s">
        <v>91</v>
      </c>
      <c r="P62" s="46" t="s">
        <v>50</v>
      </c>
      <c r="Q62" s="46" t="s">
        <v>112</v>
      </c>
      <c r="R62" s="28" t="s">
        <v>18</v>
      </c>
      <c r="S62" s="28" t="s">
        <v>19</v>
      </c>
      <c r="T62" s="73" t="s">
        <v>83</v>
      </c>
      <c r="U62" s="27"/>
      <c r="V62" s="139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8" t="str">
        <f t="shared" ref="AG62" si="120">F62</f>
        <v>span (cm)</v>
      </c>
      <c r="AH62" s="28" t="s">
        <v>113</v>
      </c>
      <c r="AI62" s="28" t="s">
        <v>114</v>
      </c>
      <c r="AJ62" s="28" t="s">
        <v>115</v>
      </c>
      <c r="AK62" s="28" t="str">
        <f>T62</f>
        <v>change in distance between handles (cm / cm)</v>
      </c>
      <c r="AM62" s="28" t="str">
        <f>AG62</f>
        <v>span (cm)</v>
      </c>
      <c r="AN62" s="28" t="str">
        <f t="shared" ref="AN62" si="121">AH62</f>
        <v>Change in catch angle (deg)</v>
      </c>
      <c r="AO62" s="28" t="str">
        <f t="shared" ref="AO62" si="122">AI62</f>
        <v>Change in finish angle (deg)</v>
      </c>
      <c r="AP62" s="28" t="str">
        <f t="shared" ref="AP62" si="123">AJ62</f>
        <v>Change in sweep angle (deg)</v>
      </c>
      <c r="AQ62" s="28" t="str">
        <f t="shared" ref="AQ62" si="124">AK62</f>
        <v>change in distance between handles (cm / cm)</v>
      </c>
    </row>
    <row r="63" spans="1:45" s="59" customFormat="1">
      <c r="A63" s="15"/>
      <c r="B63" s="140">
        <f t="shared" ref="B63" si="125">5*B61+B68</f>
        <v>183</v>
      </c>
      <c r="C63" s="18">
        <f t="shared" ref="C63:C67" si="126">100*(0.297865*B63/100+1.08387)</f>
        <v>162.89629500000001</v>
      </c>
      <c r="E63" s="63">
        <f t="shared" ref="E63" si="127">5*E61+E68</f>
        <v>88</v>
      </c>
      <c r="F63" s="63">
        <f>5*F61+F68</f>
        <v>165</v>
      </c>
      <c r="G63" s="142">
        <f t="shared" ref="G63:G66" si="128">G$68</f>
        <v>62.249497989943649</v>
      </c>
      <c r="H63" s="63">
        <f>F63-2*(E63+2)*COS(RADIANS(I63))</f>
        <v>34.999999999999972</v>
      </c>
      <c r="I63" s="140">
        <f>I$68</f>
        <v>43.761742692679796</v>
      </c>
      <c r="J63" s="9">
        <f>DEGREES(C63/(E63-6+2))</f>
        <v>111.11035954545257</v>
      </c>
      <c r="K63" s="9">
        <f t="shared" ref="K63:K73" si="129">J63-I63</f>
        <v>67.348616852772778</v>
      </c>
      <c r="M63" s="69">
        <f t="shared" ref="M63:M67" si="130">K63-K$68</f>
        <v>0</v>
      </c>
      <c r="N63" s="69">
        <f t="shared" ref="N63:N67" si="131">I63-I$68</f>
        <v>0</v>
      </c>
      <c r="O63" s="9">
        <f t="shared" ref="O63:O67" si="132">J63-J$68</f>
        <v>0</v>
      </c>
      <c r="P63" s="62">
        <f t="shared" ref="P63:P67" si="133">((F63-H63)/2)*TAN(RADIANS(I63))</f>
        <v>62.249497989943663</v>
      </c>
      <c r="Q63" s="62">
        <f t="shared" ref="Q63:Q67" si="134">P$68-P63</f>
        <v>0</v>
      </c>
      <c r="R63" s="61">
        <f t="shared" ref="R63:R73" si="135">(E63+2)*SIN(RADIANS(K63))</f>
        <v>83.057868711361749</v>
      </c>
      <c r="S63" s="61">
        <f t="shared" ref="S63:S73" si="136">(F63/2)- (E63+2)*COS(RADIANS(K63))</f>
        <v>47.838920312168661</v>
      </c>
      <c r="T63" s="61">
        <f t="shared" ref="T63:T67" si="137">H63-H$68</f>
        <v>4.9999999999999716</v>
      </c>
      <c r="AG63" s="61">
        <f>F63</f>
        <v>165</v>
      </c>
      <c r="AH63" s="61">
        <f t="shared" ref="AH63:AH73" si="138">M63</f>
        <v>0</v>
      </c>
      <c r="AI63" s="61">
        <f t="shared" ref="AI63:AI73" si="139">N63</f>
        <v>0</v>
      </c>
      <c r="AJ63" s="61">
        <f>O63</f>
        <v>0</v>
      </c>
      <c r="AK63" s="61">
        <f>T63</f>
        <v>4.9999999999999716</v>
      </c>
      <c r="AM63" s="134">
        <f t="shared" ref="AM63:AM67" si="140">AG63/AG$68-1</f>
        <v>3.125E-2</v>
      </c>
      <c r="AN63" s="135">
        <f t="shared" ref="AN63:AN67" si="141">K63/K$68-1</f>
        <v>0</v>
      </c>
      <c r="AO63" s="135">
        <f t="shared" ref="AO63:AO67" si="142">I63/I$68-1</f>
        <v>0</v>
      </c>
      <c r="AP63" s="135">
        <f t="shared" ref="AP63:AP67" si="143">J63/J$68-1</f>
        <v>0</v>
      </c>
      <c r="AQ63" s="134">
        <f t="shared" ref="AQ63:AQ67" si="144">(Q63+60)/(Q$68+60) -1</f>
        <v>0</v>
      </c>
    </row>
    <row r="64" spans="1:45" s="59" customFormat="1">
      <c r="A64" s="15"/>
      <c r="B64" s="140">
        <f t="shared" ref="B64" si="145">4*B61+B68</f>
        <v>183</v>
      </c>
      <c r="C64" s="18">
        <f t="shared" si="126"/>
        <v>162.89629500000001</v>
      </c>
      <c r="E64" s="63">
        <f t="shared" ref="E64" si="146">4*E61+E68</f>
        <v>88</v>
      </c>
      <c r="F64" s="63">
        <f>4*F61+F68</f>
        <v>164</v>
      </c>
      <c r="G64" s="142">
        <f t="shared" si="128"/>
        <v>62.249497989943649</v>
      </c>
      <c r="H64" s="63">
        <f>F64-2*(E64+2)*COS(RADIANS(I64))</f>
        <v>33.999999999999972</v>
      </c>
      <c r="I64" s="140">
        <f>I$68</f>
        <v>43.761742692679796</v>
      </c>
      <c r="J64" s="9">
        <f t="shared" ref="J64:J73" si="147">DEGREES(C64/(E64-6+2))</f>
        <v>111.11035954545257</v>
      </c>
      <c r="K64" s="9">
        <f t="shared" si="129"/>
        <v>67.348616852772778</v>
      </c>
      <c r="M64" s="69">
        <f t="shared" si="130"/>
        <v>0</v>
      </c>
      <c r="N64" s="69">
        <f t="shared" si="131"/>
        <v>0</v>
      </c>
      <c r="O64" s="9">
        <f t="shared" si="132"/>
        <v>0</v>
      </c>
      <c r="P64" s="62">
        <f t="shared" si="133"/>
        <v>62.249497989943663</v>
      </c>
      <c r="Q64" s="62">
        <f t="shared" si="134"/>
        <v>0</v>
      </c>
      <c r="R64" s="61">
        <f t="shared" si="135"/>
        <v>83.057868711361749</v>
      </c>
      <c r="S64" s="61">
        <f t="shared" si="136"/>
        <v>47.338920312168661</v>
      </c>
      <c r="T64" s="61">
        <f t="shared" si="137"/>
        <v>3.9999999999999716</v>
      </c>
      <c r="AG64" s="61">
        <f t="shared" ref="AG64:AG73" si="148">F64</f>
        <v>164</v>
      </c>
      <c r="AH64" s="61">
        <f t="shared" si="138"/>
        <v>0</v>
      </c>
      <c r="AI64" s="61">
        <f t="shared" si="139"/>
        <v>0</v>
      </c>
      <c r="AJ64" s="61">
        <f t="shared" ref="AJ64:AJ73" si="149">O64</f>
        <v>0</v>
      </c>
      <c r="AK64" s="61">
        <f t="shared" ref="AK64:AK73" si="150">T64</f>
        <v>3.9999999999999716</v>
      </c>
      <c r="AM64" s="134">
        <f t="shared" si="140"/>
        <v>2.4999999999999911E-2</v>
      </c>
      <c r="AN64" s="135">
        <f t="shared" si="141"/>
        <v>0</v>
      </c>
      <c r="AO64" s="135">
        <f t="shared" si="142"/>
        <v>0</v>
      </c>
      <c r="AP64" s="135">
        <f t="shared" si="143"/>
        <v>0</v>
      </c>
      <c r="AQ64" s="134">
        <f t="shared" si="144"/>
        <v>0</v>
      </c>
    </row>
    <row r="65" spans="1:45" s="59" customFormat="1">
      <c r="A65" s="15"/>
      <c r="B65" s="140">
        <f t="shared" ref="B65" si="151">3*B61+B68</f>
        <v>183</v>
      </c>
      <c r="C65" s="18">
        <f t="shared" si="126"/>
        <v>162.89629500000001</v>
      </c>
      <c r="E65" s="63">
        <f>3*E61+E68</f>
        <v>88</v>
      </c>
      <c r="F65" s="63">
        <f>3*F61+F68</f>
        <v>163</v>
      </c>
      <c r="G65" s="142">
        <f t="shared" si="128"/>
        <v>62.249497989943649</v>
      </c>
      <c r="H65" s="63">
        <f>F65-2*(E65+2)*COS(RADIANS(I65))</f>
        <v>32.999999999999972</v>
      </c>
      <c r="I65" s="140">
        <f>I$68</f>
        <v>43.761742692679796</v>
      </c>
      <c r="J65" s="9">
        <f t="shared" si="147"/>
        <v>111.11035954545257</v>
      </c>
      <c r="K65" s="9">
        <f t="shared" si="129"/>
        <v>67.348616852772778</v>
      </c>
      <c r="M65" s="69">
        <f t="shared" si="130"/>
        <v>0</v>
      </c>
      <c r="N65" s="69">
        <f t="shared" si="131"/>
        <v>0</v>
      </c>
      <c r="O65" s="9">
        <f t="shared" si="132"/>
        <v>0</v>
      </c>
      <c r="P65" s="62">
        <f t="shared" si="133"/>
        <v>62.249497989943663</v>
      </c>
      <c r="Q65" s="62">
        <f t="shared" si="134"/>
        <v>0</v>
      </c>
      <c r="R65" s="61">
        <f t="shared" si="135"/>
        <v>83.057868711361749</v>
      </c>
      <c r="S65" s="61">
        <f t="shared" si="136"/>
        <v>46.838920312168661</v>
      </c>
      <c r="T65" s="61">
        <f t="shared" si="137"/>
        <v>2.9999999999999716</v>
      </c>
      <c r="AG65" s="61">
        <f t="shared" si="148"/>
        <v>163</v>
      </c>
      <c r="AH65" s="61">
        <f t="shared" si="138"/>
        <v>0</v>
      </c>
      <c r="AI65" s="61">
        <f t="shared" si="139"/>
        <v>0</v>
      </c>
      <c r="AJ65" s="61">
        <f t="shared" si="149"/>
        <v>0</v>
      </c>
      <c r="AK65" s="61">
        <f t="shared" si="150"/>
        <v>2.9999999999999716</v>
      </c>
      <c r="AM65" s="134">
        <f t="shared" si="140"/>
        <v>1.8750000000000044E-2</v>
      </c>
      <c r="AN65" s="135">
        <f t="shared" si="141"/>
        <v>0</v>
      </c>
      <c r="AO65" s="135">
        <f t="shared" si="142"/>
        <v>0</v>
      </c>
      <c r="AP65" s="135">
        <f t="shared" si="143"/>
        <v>0</v>
      </c>
      <c r="AQ65" s="134">
        <f t="shared" si="144"/>
        <v>0</v>
      </c>
    </row>
    <row r="66" spans="1:45" s="59" customFormat="1">
      <c r="A66" s="15"/>
      <c r="B66" s="140">
        <f t="shared" ref="B66" si="152">2*B61+B68</f>
        <v>183</v>
      </c>
      <c r="C66" s="18">
        <f t="shared" si="126"/>
        <v>162.89629500000001</v>
      </c>
      <c r="E66" s="63">
        <f t="shared" ref="E66" si="153">2*E61+E68</f>
        <v>88</v>
      </c>
      <c r="F66" s="63">
        <f>2*F61+F68</f>
        <v>162</v>
      </c>
      <c r="G66" s="142">
        <f t="shared" si="128"/>
        <v>62.249497989943649</v>
      </c>
      <c r="H66" s="63">
        <f>F66-2*(E66+2)*COS(RADIANS(I66))</f>
        <v>31.999999999999972</v>
      </c>
      <c r="I66" s="140">
        <f>I$68</f>
        <v>43.761742692679796</v>
      </c>
      <c r="J66" s="9">
        <f t="shared" si="147"/>
        <v>111.11035954545257</v>
      </c>
      <c r="K66" s="9">
        <f t="shared" si="129"/>
        <v>67.348616852772778</v>
      </c>
      <c r="M66" s="69">
        <f t="shared" si="130"/>
        <v>0</v>
      </c>
      <c r="N66" s="69">
        <f t="shared" si="131"/>
        <v>0</v>
      </c>
      <c r="O66" s="9">
        <f t="shared" si="132"/>
        <v>0</v>
      </c>
      <c r="P66" s="62">
        <f t="shared" si="133"/>
        <v>62.249497989943663</v>
      </c>
      <c r="Q66" s="62">
        <f t="shared" si="134"/>
        <v>0</v>
      </c>
      <c r="R66" s="61">
        <f t="shared" si="135"/>
        <v>83.057868711361749</v>
      </c>
      <c r="S66" s="61">
        <f t="shared" si="136"/>
        <v>46.338920312168661</v>
      </c>
      <c r="T66" s="61">
        <f t="shared" si="137"/>
        <v>1.9999999999999716</v>
      </c>
      <c r="AG66" s="61">
        <f t="shared" si="148"/>
        <v>162</v>
      </c>
      <c r="AH66" s="61">
        <f t="shared" si="138"/>
        <v>0</v>
      </c>
      <c r="AI66" s="61">
        <f t="shared" si="139"/>
        <v>0</v>
      </c>
      <c r="AJ66" s="61">
        <f t="shared" si="149"/>
        <v>0</v>
      </c>
      <c r="AK66" s="61">
        <f t="shared" si="150"/>
        <v>1.9999999999999716</v>
      </c>
      <c r="AM66" s="134">
        <f t="shared" si="140"/>
        <v>1.2499999999999956E-2</v>
      </c>
      <c r="AN66" s="135">
        <f t="shared" si="141"/>
        <v>0</v>
      </c>
      <c r="AO66" s="135">
        <f t="shared" si="142"/>
        <v>0</v>
      </c>
      <c r="AP66" s="135">
        <f t="shared" si="143"/>
        <v>0</v>
      </c>
      <c r="AQ66" s="134">
        <f t="shared" si="144"/>
        <v>0</v>
      </c>
    </row>
    <row r="67" spans="1:45" s="59" customFormat="1">
      <c r="A67" s="15"/>
      <c r="B67" s="140">
        <f t="shared" ref="B67" si="154">B68+B61</f>
        <v>183</v>
      </c>
      <c r="C67" s="18">
        <f t="shared" si="126"/>
        <v>162.89629500000001</v>
      </c>
      <c r="E67" s="63">
        <f t="shared" ref="E67" si="155">E68+E61</f>
        <v>88</v>
      </c>
      <c r="F67" s="63">
        <f>F68+F61</f>
        <v>161</v>
      </c>
      <c r="G67" s="142">
        <f>G$68</f>
        <v>62.249497989943649</v>
      </c>
      <c r="H67" s="63">
        <f>F67-2*(E67+2)*COS(RADIANS(I67))</f>
        <v>30.999999999999972</v>
      </c>
      <c r="I67" s="140">
        <f>I$68</f>
        <v>43.761742692679796</v>
      </c>
      <c r="J67" s="9">
        <f t="shared" si="147"/>
        <v>111.11035954545257</v>
      </c>
      <c r="K67" s="9">
        <f t="shared" si="129"/>
        <v>67.348616852772778</v>
      </c>
      <c r="M67" s="69">
        <f t="shared" si="130"/>
        <v>0</v>
      </c>
      <c r="N67" s="69">
        <f t="shared" si="131"/>
        <v>0</v>
      </c>
      <c r="O67" s="9">
        <f t="shared" si="132"/>
        <v>0</v>
      </c>
      <c r="P67" s="62">
        <f t="shared" si="133"/>
        <v>62.249497989943663</v>
      </c>
      <c r="Q67" s="62">
        <f t="shared" si="134"/>
        <v>0</v>
      </c>
      <c r="R67" s="61">
        <f t="shared" si="135"/>
        <v>83.057868711361749</v>
      </c>
      <c r="S67" s="61">
        <f t="shared" si="136"/>
        <v>45.838920312168661</v>
      </c>
      <c r="T67" s="61">
        <f t="shared" si="137"/>
        <v>0.99999999999997158</v>
      </c>
      <c r="AG67" s="61">
        <f t="shared" si="148"/>
        <v>161</v>
      </c>
      <c r="AH67" s="61">
        <f t="shared" si="138"/>
        <v>0</v>
      </c>
      <c r="AI67" s="61">
        <f t="shared" si="139"/>
        <v>0</v>
      </c>
      <c r="AJ67" s="61">
        <f t="shared" si="149"/>
        <v>0</v>
      </c>
      <c r="AK67" s="61">
        <f t="shared" si="150"/>
        <v>0.99999999999997158</v>
      </c>
      <c r="AM67" s="134">
        <f t="shared" si="140"/>
        <v>6.2500000000000888E-3</v>
      </c>
      <c r="AN67" s="135">
        <f t="shared" si="141"/>
        <v>0</v>
      </c>
      <c r="AO67" s="135">
        <f t="shared" si="142"/>
        <v>0</v>
      </c>
      <c r="AP67" s="135">
        <f t="shared" si="143"/>
        <v>0</v>
      </c>
      <c r="AQ67" s="134">
        <f t="shared" si="144"/>
        <v>0</v>
      </c>
    </row>
    <row r="68" spans="1:45" s="59" customFormat="1">
      <c r="A68" s="15"/>
      <c r="B68" s="147">
        <v>183</v>
      </c>
      <c r="C68" s="18">
        <f>100*(0.297865*B68/100+1.08387)</f>
        <v>162.89629500000001</v>
      </c>
      <c r="D68" s="72">
        <v>30</v>
      </c>
      <c r="E68" s="72">
        <v>88</v>
      </c>
      <c r="F68" s="72">
        <v>160</v>
      </c>
      <c r="G68" s="142">
        <f>(F68-D68)/2*(TAN(ACOS((F68-D68)/2/(E68+2))))</f>
        <v>62.249497989943649</v>
      </c>
      <c r="H68" s="124">
        <f>D68</f>
        <v>30</v>
      </c>
      <c r="I68" s="9">
        <f>DEGREES(ACOS((F68-D68)/2/(E68+2)))</f>
        <v>43.761742692679796</v>
      </c>
      <c r="J68" s="9">
        <f t="shared" si="147"/>
        <v>111.11035954545257</v>
      </c>
      <c r="K68" s="9">
        <f t="shared" si="129"/>
        <v>67.348616852772778</v>
      </c>
      <c r="M68" s="69">
        <f>K68-K$68</f>
        <v>0</v>
      </c>
      <c r="N68" s="69">
        <f>I68-I$68</f>
        <v>0</v>
      </c>
      <c r="O68" s="9">
        <f>J68-J$68</f>
        <v>0</v>
      </c>
      <c r="P68" s="62">
        <f>((F68-H68)/2)*TAN(RADIANS(I68))</f>
        <v>62.249497989943649</v>
      </c>
      <c r="Q68" s="62">
        <f>P$68-P68</f>
        <v>0</v>
      </c>
      <c r="R68" s="61">
        <f t="shared" si="135"/>
        <v>83.057868711361749</v>
      </c>
      <c r="S68" s="61">
        <f t="shared" si="136"/>
        <v>45.338920312168661</v>
      </c>
      <c r="T68" s="61">
        <f>H68-H$68</f>
        <v>0</v>
      </c>
      <c r="AG68" s="61">
        <f t="shared" si="148"/>
        <v>160</v>
      </c>
      <c r="AH68" s="61">
        <f t="shared" si="138"/>
        <v>0</v>
      </c>
      <c r="AI68" s="61">
        <f t="shared" si="139"/>
        <v>0</v>
      </c>
      <c r="AJ68" s="61">
        <f t="shared" si="149"/>
        <v>0</v>
      </c>
      <c r="AK68" s="61">
        <f t="shared" si="150"/>
        <v>0</v>
      </c>
      <c r="AM68" s="134">
        <f>AG68/AG$68-1</f>
        <v>0</v>
      </c>
      <c r="AN68" s="135">
        <f>K68/K$68-1</f>
        <v>0</v>
      </c>
      <c r="AO68" s="135">
        <f>I68/I$68-1</f>
        <v>0</v>
      </c>
      <c r="AP68" s="135">
        <f>J68/J$68-1</f>
        <v>0</v>
      </c>
      <c r="AQ68" s="134">
        <f>(Q68+60)/(Q$68+60) -1</f>
        <v>0</v>
      </c>
    </row>
    <row r="69" spans="1:45" s="59" customFormat="1">
      <c r="A69" s="15"/>
      <c r="B69" s="140">
        <f t="shared" ref="B69" si="156">B68-B61</f>
        <v>183</v>
      </c>
      <c r="C69" s="18">
        <f>100*(0.297865*B73/100+1.08387)</f>
        <v>162.89629500000001</v>
      </c>
      <c r="E69" s="63">
        <f t="shared" ref="E69" si="157">E68-E61</f>
        <v>88</v>
      </c>
      <c r="F69" s="63">
        <f>F68-F61</f>
        <v>159</v>
      </c>
      <c r="G69" s="142">
        <f>G$68</f>
        <v>62.249497989943649</v>
      </c>
      <c r="H69" s="63">
        <f>F69-2*(E69+2)*COS(RADIANS(I69))</f>
        <v>28.999999999999972</v>
      </c>
      <c r="I69" s="140">
        <f>I$68</f>
        <v>43.761742692679796</v>
      </c>
      <c r="J69" s="9">
        <f t="shared" si="147"/>
        <v>111.11035954545257</v>
      </c>
      <c r="K69" s="9">
        <f t="shared" si="129"/>
        <v>67.348616852772778</v>
      </c>
      <c r="M69" s="69">
        <f t="shared" ref="M69:M73" si="158">K69-K$68</f>
        <v>0</v>
      </c>
      <c r="N69" s="69">
        <f t="shared" ref="N69:N73" si="159">I69-I$68</f>
        <v>0</v>
      </c>
      <c r="O69" s="9">
        <f t="shared" ref="O69:O73" si="160">J69-J$68</f>
        <v>0</v>
      </c>
      <c r="P69" s="62">
        <f t="shared" ref="P69:P73" si="161">((F69-H69)/2)*TAN(RADIANS(I69))</f>
        <v>62.249497989943663</v>
      </c>
      <c r="Q69" s="62">
        <f t="shared" ref="Q69:Q73" si="162">P$68-P69</f>
        <v>0</v>
      </c>
      <c r="R69" s="61">
        <f t="shared" si="135"/>
        <v>83.057868711361749</v>
      </c>
      <c r="S69" s="61">
        <f t="shared" si="136"/>
        <v>44.838920312168661</v>
      </c>
      <c r="T69" s="61">
        <f t="shared" ref="T69:T73" si="163">H69-H$68</f>
        <v>-1.0000000000000284</v>
      </c>
      <c r="AG69" s="61">
        <f t="shared" si="148"/>
        <v>159</v>
      </c>
      <c r="AH69" s="61">
        <f t="shared" si="138"/>
        <v>0</v>
      </c>
      <c r="AI69" s="61">
        <f t="shared" si="139"/>
        <v>0</v>
      </c>
      <c r="AJ69" s="61">
        <f t="shared" si="149"/>
        <v>0</v>
      </c>
      <c r="AK69" s="61">
        <f t="shared" si="150"/>
        <v>-1.0000000000000284</v>
      </c>
      <c r="AM69" s="134">
        <f t="shared" ref="AM69:AM73" si="164">AG69/AG$68-1</f>
        <v>-6.2499999999999778E-3</v>
      </c>
      <c r="AN69" s="135">
        <f t="shared" ref="AN69:AN73" si="165">K69/K$68-1</f>
        <v>0</v>
      </c>
      <c r="AO69" s="135">
        <f t="shared" ref="AO69:AO73" si="166">I69/I$68-1</f>
        <v>0</v>
      </c>
      <c r="AP69" s="135">
        <f t="shared" ref="AP69:AP73" si="167">J69/J$68-1</f>
        <v>0</v>
      </c>
      <c r="AQ69" s="134">
        <f t="shared" ref="AQ69:AQ73" si="168">(Q69+60)/(Q$68+60) -1</f>
        <v>0</v>
      </c>
    </row>
    <row r="70" spans="1:45" s="59" customFormat="1">
      <c r="A70" s="15"/>
      <c r="B70" s="140">
        <f t="shared" ref="B70" si="169">B68-2*B61</f>
        <v>183</v>
      </c>
      <c r="C70" s="18">
        <f t="shared" ref="C70:C73" si="170">100*(0.297865*B70/100+1.08387)</f>
        <v>162.89629500000001</v>
      </c>
      <c r="E70" s="63">
        <f t="shared" ref="E70" si="171">E68-2*E61</f>
        <v>88</v>
      </c>
      <c r="F70" s="63">
        <f>F68-2*F61</f>
        <v>158</v>
      </c>
      <c r="G70" s="142">
        <f t="shared" ref="G70:G73" si="172">G$68</f>
        <v>62.249497989943649</v>
      </c>
      <c r="H70" s="63">
        <f>F70-2*(E70+2)*COS(RADIANS(I70))</f>
        <v>27.999999999999972</v>
      </c>
      <c r="I70" s="140">
        <f>I$68</f>
        <v>43.761742692679796</v>
      </c>
      <c r="J70" s="9">
        <f t="shared" si="147"/>
        <v>111.11035954545257</v>
      </c>
      <c r="K70" s="9">
        <f t="shared" si="129"/>
        <v>67.348616852772778</v>
      </c>
      <c r="M70" s="69">
        <f t="shared" si="158"/>
        <v>0</v>
      </c>
      <c r="N70" s="69">
        <f t="shared" si="159"/>
        <v>0</v>
      </c>
      <c r="O70" s="9">
        <f t="shared" si="160"/>
        <v>0</v>
      </c>
      <c r="P70" s="62">
        <f t="shared" si="161"/>
        <v>62.249497989943663</v>
      </c>
      <c r="Q70" s="62">
        <f t="shared" si="162"/>
        <v>0</v>
      </c>
      <c r="R70" s="61">
        <f t="shared" si="135"/>
        <v>83.057868711361749</v>
      </c>
      <c r="S70" s="61">
        <f t="shared" si="136"/>
        <v>44.338920312168661</v>
      </c>
      <c r="T70" s="61">
        <f t="shared" si="163"/>
        <v>-2.0000000000000284</v>
      </c>
      <c r="AG70" s="61">
        <f t="shared" si="148"/>
        <v>158</v>
      </c>
      <c r="AH70" s="61">
        <f t="shared" si="138"/>
        <v>0</v>
      </c>
      <c r="AI70" s="61">
        <f t="shared" si="139"/>
        <v>0</v>
      </c>
      <c r="AJ70" s="61">
        <f t="shared" si="149"/>
        <v>0</v>
      </c>
      <c r="AK70" s="61">
        <f t="shared" si="150"/>
        <v>-2.0000000000000284</v>
      </c>
      <c r="AM70" s="134">
        <f t="shared" si="164"/>
        <v>-1.2499999999999956E-2</v>
      </c>
      <c r="AN70" s="135">
        <f t="shared" si="165"/>
        <v>0</v>
      </c>
      <c r="AO70" s="135">
        <f t="shared" si="166"/>
        <v>0</v>
      </c>
      <c r="AP70" s="135">
        <f t="shared" si="167"/>
        <v>0</v>
      </c>
      <c r="AQ70" s="134">
        <f t="shared" si="168"/>
        <v>0</v>
      </c>
    </row>
    <row r="71" spans="1:45" s="59" customFormat="1">
      <c r="A71" s="15"/>
      <c r="B71" s="140">
        <f t="shared" ref="B71" si="173">B68-3*B61</f>
        <v>183</v>
      </c>
      <c r="C71" s="18">
        <f t="shared" si="170"/>
        <v>162.89629500000001</v>
      </c>
      <c r="E71" s="63">
        <f t="shared" ref="E71" si="174">E68-3*E61</f>
        <v>88</v>
      </c>
      <c r="F71" s="63">
        <f>F68-3*F61</f>
        <v>157</v>
      </c>
      <c r="G71" s="142">
        <f t="shared" si="172"/>
        <v>62.249497989943649</v>
      </c>
      <c r="H71" s="63">
        <f>F71-2*(E71+2)*COS(RADIANS(I71))</f>
        <v>26.999999999999972</v>
      </c>
      <c r="I71" s="140">
        <f>I$68</f>
        <v>43.761742692679796</v>
      </c>
      <c r="J71" s="9">
        <f t="shared" si="147"/>
        <v>111.11035954545257</v>
      </c>
      <c r="K71" s="9">
        <f t="shared" si="129"/>
        <v>67.348616852772778</v>
      </c>
      <c r="M71" s="69">
        <f t="shared" si="158"/>
        <v>0</v>
      </c>
      <c r="N71" s="69">
        <f t="shared" si="159"/>
        <v>0</v>
      </c>
      <c r="O71" s="9">
        <f t="shared" si="160"/>
        <v>0</v>
      </c>
      <c r="P71" s="62">
        <f t="shared" si="161"/>
        <v>62.249497989943663</v>
      </c>
      <c r="Q71" s="62">
        <f t="shared" si="162"/>
        <v>0</v>
      </c>
      <c r="R71" s="61">
        <f t="shared" si="135"/>
        <v>83.057868711361749</v>
      </c>
      <c r="S71" s="61">
        <f t="shared" si="136"/>
        <v>43.838920312168661</v>
      </c>
      <c r="T71" s="61">
        <f t="shared" si="163"/>
        <v>-3.0000000000000284</v>
      </c>
      <c r="AG71" s="61">
        <f t="shared" si="148"/>
        <v>157</v>
      </c>
      <c r="AH71" s="61">
        <f t="shared" si="138"/>
        <v>0</v>
      </c>
      <c r="AI71" s="61">
        <f t="shared" si="139"/>
        <v>0</v>
      </c>
      <c r="AJ71" s="61">
        <f t="shared" si="149"/>
        <v>0</v>
      </c>
      <c r="AK71" s="61">
        <f t="shared" si="150"/>
        <v>-3.0000000000000284</v>
      </c>
      <c r="AM71" s="134">
        <f t="shared" si="164"/>
        <v>-1.8750000000000044E-2</v>
      </c>
      <c r="AN71" s="135">
        <f t="shared" si="165"/>
        <v>0</v>
      </c>
      <c r="AO71" s="135">
        <f t="shared" si="166"/>
        <v>0</v>
      </c>
      <c r="AP71" s="135">
        <f t="shared" si="167"/>
        <v>0</v>
      </c>
      <c r="AQ71" s="134">
        <f t="shared" si="168"/>
        <v>0</v>
      </c>
    </row>
    <row r="72" spans="1:45" s="59" customFormat="1">
      <c r="A72" s="15"/>
      <c r="B72" s="140">
        <f t="shared" ref="B72" si="175">B68-4*B61</f>
        <v>183</v>
      </c>
      <c r="C72" s="18">
        <f t="shared" si="170"/>
        <v>162.89629500000001</v>
      </c>
      <c r="E72" s="63">
        <f t="shared" ref="E72" si="176">E68-4*E61</f>
        <v>88</v>
      </c>
      <c r="F72" s="63">
        <f>F68-4*F61</f>
        <v>156</v>
      </c>
      <c r="G72" s="142">
        <f t="shared" si="172"/>
        <v>62.249497989943649</v>
      </c>
      <c r="H72" s="63">
        <f>F72-2*(E72+2)*COS(RADIANS(I72))</f>
        <v>25.999999999999972</v>
      </c>
      <c r="I72" s="140">
        <f>I$68</f>
        <v>43.761742692679796</v>
      </c>
      <c r="J72" s="9">
        <f t="shared" si="147"/>
        <v>111.11035954545257</v>
      </c>
      <c r="K72" s="9">
        <f t="shared" si="129"/>
        <v>67.348616852772778</v>
      </c>
      <c r="M72" s="69">
        <f t="shared" si="158"/>
        <v>0</v>
      </c>
      <c r="N72" s="69">
        <f t="shared" si="159"/>
        <v>0</v>
      </c>
      <c r="O72" s="9">
        <f t="shared" si="160"/>
        <v>0</v>
      </c>
      <c r="P72" s="62">
        <f t="shared" si="161"/>
        <v>62.249497989943663</v>
      </c>
      <c r="Q72" s="62">
        <f t="shared" si="162"/>
        <v>0</v>
      </c>
      <c r="R72" s="61">
        <f t="shared" si="135"/>
        <v>83.057868711361749</v>
      </c>
      <c r="S72" s="61">
        <f t="shared" si="136"/>
        <v>43.338920312168661</v>
      </c>
      <c r="T72" s="61">
        <f t="shared" si="163"/>
        <v>-4.0000000000000284</v>
      </c>
      <c r="AG72" s="61">
        <f t="shared" si="148"/>
        <v>156</v>
      </c>
      <c r="AH72" s="61">
        <f t="shared" si="138"/>
        <v>0</v>
      </c>
      <c r="AI72" s="61">
        <f t="shared" si="139"/>
        <v>0</v>
      </c>
      <c r="AJ72" s="61">
        <f t="shared" si="149"/>
        <v>0</v>
      </c>
      <c r="AK72" s="61">
        <f t="shared" si="150"/>
        <v>-4.0000000000000284</v>
      </c>
      <c r="AM72" s="134">
        <f t="shared" si="164"/>
        <v>-2.5000000000000022E-2</v>
      </c>
      <c r="AN72" s="135">
        <f t="shared" si="165"/>
        <v>0</v>
      </c>
      <c r="AO72" s="135">
        <f t="shared" si="166"/>
        <v>0</v>
      </c>
      <c r="AP72" s="135">
        <f t="shared" si="167"/>
        <v>0</v>
      </c>
      <c r="AQ72" s="134">
        <f t="shared" si="168"/>
        <v>0</v>
      </c>
    </row>
    <row r="73" spans="1:45" s="59" customFormat="1">
      <c r="A73" s="15"/>
      <c r="B73" s="140">
        <f t="shared" ref="B73" si="177">B68-5*B61</f>
        <v>183</v>
      </c>
      <c r="C73" s="18">
        <f t="shared" si="170"/>
        <v>162.89629500000001</v>
      </c>
      <c r="E73" s="63">
        <f t="shared" ref="E73" si="178">E68-5*E61</f>
        <v>88</v>
      </c>
      <c r="F73" s="63">
        <f>F68-5*F61</f>
        <v>155</v>
      </c>
      <c r="G73" s="142">
        <f t="shared" si="172"/>
        <v>62.249497989943649</v>
      </c>
      <c r="H73" s="63">
        <f>F73-2*(E73+2)*COS(RADIANS(I73))</f>
        <v>24.999999999999972</v>
      </c>
      <c r="I73" s="140">
        <f>I$68</f>
        <v>43.761742692679796</v>
      </c>
      <c r="J73" s="9">
        <f t="shared" si="147"/>
        <v>111.11035954545257</v>
      </c>
      <c r="K73" s="9">
        <f t="shared" si="129"/>
        <v>67.348616852772778</v>
      </c>
      <c r="M73" s="69">
        <f t="shared" si="158"/>
        <v>0</v>
      </c>
      <c r="N73" s="69">
        <f t="shared" si="159"/>
        <v>0</v>
      </c>
      <c r="O73" s="9">
        <f t="shared" si="160"/>
        <v>0</v>
      </c>
      <c r="P73" s="62">
        <f t="shared" si="161"/>
        <v>62.249497989943663</v>
      </c>
      <c r="Q73" s="62">
        <f t="shared" si="162"/>
        <v>0</v>
      </c>
      <c r="R73" s="61">
        <f t="shared" si="135"/>
        <v>83.057868711361749</v>
      </c>
      <c r="S73" s="61">
        <f t="shared" si="136"/>
        <v>42.838920312168661</v>
      </c>
      <c r="T73" s="61">
        <f t="shared" si="163"/>
        <v>-5.0000000000000284</v>
      </c>
      <c r="AG73" s="61">
        <f t="shared" si="148"/>
        <v>155</v>
      </c>
      <c r="AH73" s="61">
        <f t="shared" si="138"/>
        <v>0</v>
      </c>
      <c r="AI73" s="61">
        <f t="shared" si="139"/>
        <v>0</v>
      </c>
      <c r="AJ73" s="61">
        <f t="shared" si="149"/>
        <v>0</v>
      </c>
      <c r="AK73" s="61">
        <f t="shared" si="150"/>
        <v>-5.0000000000000284</v>
      </c>
      <c r="AM73" s="134">
        <f t="shared" si="164"/>
        <v>-3.125E-2</v>
      </c>
      <c r="AN73" s="135">
        <f t="shared" si="165"/>
        <v>0</v>
      </c>
      <c r="AO73" s="135">
        <f t="shared" si="166"/>
        <v>0</v>
      </c>
      <c r="AP73" s="135">
        <f t="shared" si="167"/>
        <v>0</v>
      </c>
      <c r="AQ73" s="134">
        <f t="shared" si="168"/>
        <v>0</v>
      </c>
    </row>
    <row r="74" spans="1:45" s="59" customFormat="1">
      <c r="A74" s="15"/>
      <c r="B74" s="20"/>
      <c r="C74" s="19" t="s">
        <v>24</v>
      </c>
      <c r="AG74" s="124"/>
      <c r="AH74" s="144"/>
      <c r="AI74" s="144"/>
      <c r="AJ74" s="124"/>
      <c r="AK74" s="124"/>
      <c r="AM74" s="12"/>
      <c r="AN74" s="12"/>
      <c r="AO74" s="12"/>
      <c r="AP74" s="12"/>
      <c r="AQ74" s="12"/>
    </row>
    <row r="75" spans="1:45" ht="18.75">
      <c r="A75" s="15" t="s">
        <v>155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AG75" s="127"/>
      <c r="AH75" s="126"/>
      <c r="AI75" s="126"/>
      <c r="AJ75" s="126"/>
      <c r="AM75" s="59"/>
      <c r="AN75" s="59"/>
      <c r="AO75" s="59"/>
      <c r="AP75" s="59"/>
      <c r="AQ75" s="59"/>
    </row>
    <row r="76" spans="1:45" ht="30.75" customHeight="1">
      <c r="A76" s="20"/>
      <c r="B76" s="20"/>
      <c r="C76" s="20"/>
      <c r="D76" s="20"/>
      <c r="E76" s="20"/>
      <c r="F76" s="20"/>
      <c r="M76" s="236" t="s">
        <v>14</v>
      </c>
      <c r="N76" s="237"/>
      <c r="V76" s="5"/>
      <c r="AG76" s="127"/>
      <c r="AH76" s="126"/>
      <c r="AI76" s="126"/>
      <c r="AJ76" s="126"/>
      <c r="AM76" s="59"/>
      <c r="AN76" s="59"/>
      <c r="AO76" s="59"/>
      <c r="AP76" s="59"/>
      <c r="AQ76" s="59"/>
    </row>
    <row r="77" spans="1:45" s="35" customFormat="1" ht="136.5">
      <c r="A77" s="27"/>
      <c r="B77" s="28" t="s">
        <v>12</v>
      </c>
      <c r="C77" s="28" t="s">
        <v>8</v>
      </c>
      <c r="D77" s="29" t="s">
        <v>42</v>
      </c>
      <c r="E77" s="28" t="s">
        <v>3</v>
      </c>
      <c r="F77" s="28" t="s">
        <v>4</v>
      </c>
      <c r="G77" s="28" t="s">
        <v>41</v>
      </c>
      <c r="H77" s="30" t="s">
        <v>1</v>
      </c>
      <c r="I77" s="55" t="s">
        <v>80</v>
      </c>
      <c r="J77" s="30" t="s">
        <v>6</v>
      </c>
      <c r="K77" s="30" t="s">
        <v>5</v>
      </c>
      <c r="L77" s="31" t="s">
        <v>49</v>
      </c>
      <c r="M77" s="31" t="s">
        <v>112</v>
      </c>
      <c r="N77" s="28" t="s">
        <v>18</v>
      </c>
      <c r="O77" s="28" t="s">
        <v>19</v>
      </c>
      <c r="P77" s="32" t="s">
        <v>25</v>
      </c>
      <c r="Q77" s="28" t="s">
        <v>27</v>
      </c>
      <c r="R77" s="33" t="s">
        <v>26</v>
      </c>
      <c r="S77" s="28" t="s">
        <v>28</v>
      </c>
      <c r="T77" s="28" t="s">
        <v>33</v>
      </c>
      <c r="U77" s="28" t="s">
        <v>34</v>
      </c>
      <c r="V77" s="28" t="s">
        <v>30</v>
      </c>
      <c r="W77" s="28" t="s">
        <v>43</v>
      </c>
      <c r="X77" s="65" t="s">
        <v>29</v>
      </c>
      <c r="Y77" s="28" t="s">
        <v>32</v>
      </c>
      <c r="Z77" s="66" t="s">
        <v>31</v>
      </c>
      <c r="AA77" s="66" t="s">
        <v>35</v>
      </c>
      <c r="AB77" s="28" t="s">
        <v>36</v>
      </c>
      <c r="AC77" s="66" t="s">
        <v>37</v>
      </c>
      <c r="AD77" s="66" t="s">
        <v>48</v>
      </c>
      <c r="AE77" s="68" t="s">
        <v>38</v>
      </c>
      <c r="AG77" s="28" t="str">
        <f>F77</f>
        <v>span (cm)</v>
      </c>
      <c r="AH77" s="28" t="s">
        <v>113</v>
      </c>
      <c r="AI77" s="28" t="s">
        <v>114</v>
      </c>
      <c r="AJ77" s="28" t="s">
        <v>115</v>
      </c>
      <c r="AK77" s="28" t="str">
        <f>AK62</f>
        <v>change in distance between handles (cm / cm)</v>
      </c>
      <c r="AM77" s="28" t="str">
        <f>AG77</f>
        <v>span (cm)</v>
      </c>
      <c r="AN77" s="28" t="str">
        <f t="shared" ref="AN77" si="179">AH77</f>
        <v>Change in catch angle (deg)</v>
      </c>
      <c r="AO77" s="28" t="str">
        <f t="shared" ref="AO77" si="180">AI77</f>
        <v>Change in finish angle (deg)</v>
      </c>
      <c r="AP77" s="28" t="str">
        <f t="shared" ref="AP77" si="181">AJ77</f>
        <v>Change in sweep angle (deg)</v>
      </c>
      <c r="AQ77" s="28" t="str">
        <f t="shared" ref="AQ77" si="182">AK77</f>
        <v>change in distance between handles (cm / cm)</v>
      </c>
      <c r="AS77" s="136" t="s">
        <v>170</v>
      </c>
    </row>
    <row r="78" spans="1:45">
      <c r="A78" s="5"/>
      <c r="B78" s="20">
        <f>B63</f>
        <v>183</v>
      </c>
      <c r="C78" s="18">
        <f t="shared" ref="C78:C82" si="183">100*(0.297865*B78/100+1.08387)</f>
        <v>162.89629500000001</v>
      </c>
      <c r="D78" s="21">
        <f>H63</f>
        <v>34.999999999999972</v>
      </c>
      <c r="E78" s="63">
        <f>E63</f>
        <v>88</v>
      </c>
      <c r="F78" s="63">
        <f>F63</f>
        <v>165</v>
      </c>
      <c r="G78" s="63">
        <f t="shared" ref="G78:G82" si="184">(E78+2)*2 -F78</f>
        <v>15</v>
      </c>
      <c r="H78" s="69">
        <f t="shared" ref="H78:H82" si="185">H$83</f>
        <v>43.761742692679796</v>
      </c>
      <c r="I78" s="51">
        <f>H78-H$83</f>
        <v>0</v>
      </c>
      <c r="J78" s="3"/>
      <c r="K78" s="21"/>
      <c r="L78" s="21">
        <f t="shared" ref="L78:L82" si="186">L$83</f>
        <v>62.249497989943649</v>
      </c>
      <c r="M78" s="83">
        <f t="shared" ref="M78:M82" si="187">L78-L$83</f>
        <v>0</v>
      </c>
      <c r="N78" s="3"/>
      <c r="O78" s="3"/>
      <c r="P78" s="23">
        <f>P$83</f>
        <v>1</v>
      </c>
      <c r="Q78" s="20">
        <f t="shared" ref="Q78:Q88" si="188">B78 *P78</f>
        <v>183</v>
      </c>
      <c r="R78" s="23">
        <f>R$83</f>
        <v>0.3</v>
      </c>
      <c r="S78" s="3">
        <f>Q78*R78</f>
        <v>54.9</v>
      </c>
      <c r="T78" s="3">
        <f>S78/2</f>
        <v>27.45</v>
      </c>
      <c r="U78" s="3">
        <f t="shared" ref="U78:U88" si="189">F78/2 -S78/2</f>
        <v>55.05</v>
      </c>
      <c r="V78" s="3"/>
      <c r="W78" s="3">
        <f t="shared" ref="W78:W82" si="190">COS(RADIANS(17))*((Q78-S78)/2 -8)</f>
        <v>53.600881571728131</v>
      </c>
      <c r="X78" s="92">
        <f>X$83+M78</f>
        <v>32.53024225482509</v>
      </c>
      <c r="Y78" s="61">
        <f>SQRT(X78*X78+U78*U78)</f>
        <v>63.943093146622232</v>
      </c>
      <c r="Z78" s="9">
        <f>DEGREES(ASIN(X78/Y78))</f>
        <v>30.579764403343699</v>
      </c>
      <c r="AA78" s="9">
        <f t="shared" ref="AA78:AA88" si="191">DEGREES(ACOS(((E78+2)*(E78+2)+(Y78*Y78)-(W78*W78))/(2*(E78+2)*(Y78))))</f>
        <v>35.965467013006965</v>
      </c>
      <c r="AB78" s="4">
        <f t="shared" ref="AB78:AB88" si="192">Z78+AA78</f>
        <v>66.54523141635066</v>
      </c>
      <c r="AC78" s="69">
        <f t="shared" ref="AC78:AC82" si="193">AB78-AB$83</f>
        <v>-0.80338543642210425</v>
      </c>
      <c r="AD78" s="69">
        <f>AB78+H78</f>
        <v>110.30697410903045</v>
      </c>
      <c r="AE78" s="64">
        <f t="shared" ref="AE78:AE82" si="194">H78+AB78-J$83</f>
        <v>-0.80338543642211846</v>
      </c>
      <c r="AF78" s="124"/>
      <c r="AG78" s="128">
        <f>F78</f>
        <v>165</v>
      </c>
      <c r="AH78" s="128">
        <f t="shared" ref="AH78:AH88" si="195">AC78</f>
        <v>-0.80338543642210425</v>
      </c>
      <c r="AI78" s="128">
        <f t="shared" ref="AI78:AI88" si="196">I78</f>
        <v>0</v>
      </c>
      <c r="AJ78" s="128">
        <f t="shared" ref="AJ78:AJ88" si="197">AE78</f>
        <v>-0.80338543642211846</v>
      </c>
      <c r="AK78" s="61">
        <f>T63</f>
        <v>4.9999999999999716</v>
      </c>
      <c r="AL78" s="124"/>
      <c r="AM78" s="134">
        <f t="shared" ref="AM78:AM82" si="198">AG78/AG$83-1</f>
        <v>3.125E-2</v>
      </c>
      <c r="AN78" s="135">
        <f t="shared" ref="AN78:AN82" si="199">AB78/AB$83-1</f>
        <v>-1.1928759252448184E-2</v>
      </c>
      <c r="AO78" s="135">
        <f t="shared" ref="AO78:AO82" si="200">H78/H$83-1</f>
        <v>0</v>
      </c>
      <c r="AP78" s="134">
        <f t="shared" ref="AP78:AP82" si="201">AD78/AD$83-1</f>
        <v>-7.2305178356790734E-3</v>
      </c>
      <c r="AQ78" s="134">
        <f>(Q78+60)/(Q$83+60) -1</f>
        <v>0</v>
      </c>
      <c r="AS78" s="61">
        <f>L78+X78</f>
        <v>94.779740244768732</v>
      </c>
    </row>
    <row r="79" spans="1:45">
      <c r="B79" s="20">
        <f t="shared" ref="B79:B88" si="202">B64</f>
        <v>183</v>
      </c>
      <c r="C79" s="18">
        <f t="shared" si="183"/>
        <v>162.89629500000001</v>
      </c>
      <c r="D79" s="63">
        <f t="shared" ref="D79:D88" si="203">H64</f>
        <v>33.999999999999972</v>
      </c>
      <c r="E79" s="63">
        <f t="shared" ref="E79:F88" si="204">E64</f>
        <v>88</v>
      </c>
      <c r="F79" s="63">
        <f t="shared" si="204"/>
        <v>164</v>
      </c>
      <c r="G79" s="63">
        <f t="shared" si="184"/>
        <v>16</v>
      </c>
      <c r="H79" s="69">
        <f t="shared" si="185"/>
        <v>43.761742692679796</v>
      </c>
      <c r="I79" s="51">
        <f t="shared" ref="I79:I88" si="205">H79-H$83</f>
        <v>0</v>
      </c>
      <c r="J79" s="3"/>
      <c r="K79" s="21"/>
      <c r="L79" s="21">
        <f t="shared" si="186"/>
        <v>62.249497989943649</v>
      </c>
      <c r="M79" s="83">
        <f t="shared" si="187"/>
        <v>0</v>
      </c>
      <c r="N79" s="3"/>
      <c r="O79" s="3"/>
      <c r="P79" s="23">
        <f>P$83</f>
        <v>1</v>
      </c>
      <c r="Q79" s="20">
        <f t="shared" si="188"/>
        <v>183</v>
      </c>
      <c r="R79" s="23">
        <f>R$83</f>
        <v>0.3</v>
      </c>
      <c r="S79" s="3">
        <f>Q79*R79</f>
        <v>54.9</v>
      </c>
      <c r="T79" s="3">
        <f>S79/2</f>
        <v>27.45</v>
      </c>
      <c r="U79" s="3">
        <f t="shared" si="189"/>
        <v>54.55</v>
      </c>
      <c r="V79" s="3"/>
      <c r="W79" s="3">
        <f t="shared" si="190"/>
        <v>53.600881571728131</v>
      </c>
      <c r="X79" s="92">
        <f t="shared" ref="X79:X82" si="206">X$83+M79</f>
        <v>32.53024225482509</v>
      </c>
      <c r="Y79" s="61">
        <f>SQRT(X79*X79+U79*U79)</f>
        <v>63.513141641376926</v>
      </c>
      <c r="Z79" s="9">
        <f>DEGREES(ASIN(X79/Y79))</f>
        <v>30.809233316728566</v>
      </c>
      <c r="AA79" s="9">
        <f t="shared" si="191"/>
        <v>35.898525141744464</v>
      </c>
      <c r="AB79" s="4">
        <f t="shared" si="192"/>
        <v>66.707758458473023</v>
      </c>
      <c r="AC79" s="69">
        <f t="shared" si="193"/>
        <v>-0.64085839429974101</v>
      </c>
      <c r="AD79" s="69">
        <f t="shared" ref="AD79:AD88" si="207">AB79+H79</f>
        <v>110.46950115115283</v>
      </c>
      <c r="AE79" s="64">
        <f t="shared" si="194"/>
        <v>-0.64085839429974101</v>
      </c>
      <c r="AG79" s="128">
        <f t="shared" ref="AG79:AG88" si="208">F79</f>
        <v>164</v>
      </c>
      <c r="AH79" s="128">
        <f t="shared" si="195"/>
        <v>-0.64085839429974101</v>
      </c>
      <c r="AI79" s="128">
        <f t="shared" si="196"/>
        <v>0</v>
      </c>
      <c r="AJ79" s="128">
        <f t="shared" si="197"/>
        <v>-0.64085839429974101</v>
      </c>
      <c r="AK79" s="61">
        <f t="shared" ref="AK79:AK88" si="209">T64</f>
        <v>3.9999999999999716</v>
      </c>
      <c r="AM79" s="134">
        <f t="shared" si="198"/>
        <v>2.4999999999999911E-2</v>
      </c>
      <c r="AN79" s="135">
        <f t="shared" si="199"/>
        <v>-9.5155390600031309E-3</v>
      </c>
      <c r="AO79" s="135">
        <f t="shared" si="200"/>
        <v>0</v>
      </c>
      <c r="AP79" s="134">
        <f t="shared" si="201"/>
        <v>-5.7677645623814833E-3</v>
      </c>
      <c r="AQ79" s="134">
        <f t="shared" ref="AQ79:AQ82" si="210">(Q79+60)/(Q$83+60) -1</f>
        <v>0</v>
      </c>
      <c r="AS79" s="61">
        <f t="shared" ref="AS79:AS88" si="211">L79+X79</f>
        <v>94.779740244768732</v>
      </c>
    </row>
    <row r="80" spans="1:45">
      <c r="B80" s="20">
        <f t="shared" si="202"/>
        <v>183</v>
      </c>
      <c r="C80" s="18">
        <f t="shared" si="183"/>
        <v>162.89629500000001</v>
      </c>
      <c r="D80" s="63">
        <f t="shared" si="203"/>
        <v>32.999999999999972</v>
      </c>
      <c r="E80" s="63">
        <f t="shared" si="204"/>
        <v>88</v>
      </c>
      <c r="F80" s="63">
        <f t="shared" si="204"/>
        <v>163</v>
      </c>
      <c r="G80" s="63">
        <f t="shared" si="184"/>
        <v>17</v>
      </c>
      <c r="H80" s="69">
        <f t="shared" si="185"/>
        <v>43.761742692679796</v>
      </c>
      <c r="I80" s="51">
        <f t="shared" si="205"/>
        <v>0</v>
      </c>
      <c r="J80" s="3"/>
      <c r="K80" s="21"/>
      <c r="L80" s="21">
        <f t="shared" si="186"/>
        <v>62.249497989943649</v>
      </c>
      <c r="M80" s="83">
        <f t="shared" si="187"/>
        <v>0</v>
      </c>
      <c r="N80" s="3"/>
      <c r="O80" s="3"/>
      <c r="P80" s="23">
        <f>P$83</f>
        <v>1</v>
      </c>
      <c r="Q80" s="20">
        <f t="shared" si="188"/>
        <v>183</v>
      </c>
      <c r="R80" s="23">
        <f>R$83</f>
        <v>0.3</v>
      </c>
      <c r="S80" s="3">
        <f t="shared" ref="S80:S82" si="212">Q80*R80</f>
        <v>54.9</v>
      </c>
      <c r="T80" s="3">
        <f t="shared" ref="T80:T82" si="213">S80/2</f>
        <v>27.45</v>
      </c>
      <c r="U80" s="3">
        <f t="shared" si="189"/>
        <v>54.05</v>
      </c>
      <c r="V80" s="3"/>
      <c r="W80" s="3">
        <f t="shared" si="190"/>
        <v>53.600881571728131</v>
      </c>
      <c r="X80" s="92">
        <f t="shared" si="206"/>
        <v>32.53024225482509</v>
      </c>
      <c r="Y80" s="61">
        <f t="shared" ref="Y80:Y82" si="214">SQRT(X80*X80+U80*U80)</f>
        <v>63.084222759400056</v>
      </c>
      <c r="Z80" s="9">
        <f t="shared" ref="Z80:Z82" si="215">DEGREES(ASIN(X80/Y80))</f>
        <v>31.041826388916334</v>
      </c>
      <c r="AA80" s="9">
        <f t="shared" si="191"/>
        <v>35.827549370110667</v>
      </c>
      <c r="AB80" s="4">
        <f t="shared" si="192"/>
        <v>66.869375759027008</v>
      </c>
      <c r="AC80" s="69">
        <f t="shared" si="193"/>
        <v>-0.47924109374575607</v>
      </c>
      <c r="AD80" s="69">
        <f t="shared" si="207"/>
        <v>110.63111845170681</v>
      </c>
      <c r="AE80" s="64">
        <f t="shared" si="194"/>
        <v>-0.47924109374575607</v>
      </c>
      <c r="AG80" s="128">
        <f t="shared" si="208"/>
        <v>163</v>
      </c>
      <c r="AH80" s="128">
        <f t="shared" si="195"/>
        <v>-0.47924109374575607</v>
      </c>
      <c r="AI80" s="128">
        <f t="shared" si="196"/>
        <v>0</v>
      </c>
      <c r="AJ80" s="128">
        <f t="shared" si="197"/>
        <v>-0.47924109374575607</v>
      </c>
      <c r="AK80" s="61">
        <f t="shared" si="209"/>
        <v>2.9999999999999716</v>
      </c>
      <c r="AM80" s="134">
        <f t="shared" si="198"/>
        <v>1.8750000000000044E-2</v>
      </c>
      <c r="AN80" s="135">
        <f t="shared" si="199"/>
        <v>-7.1158268148757697E-3</v>
      </c>
      <c r="AO80" s="135">
        <f t="shared" si="200"/>
        <v>0</v>
      </c>
      <c r="AP80" s="134">
        <f t="shared" si="201"/>
        <v>-4.3131990185820701E-3</v>
      </c>
      <c r="AQ80" s="134">
        <f t="shared" si="210"/>
        <v>0</v>
      </c>
      <c r="AS80" s="61">
        <f t="shared" si="211"/>
        <v>94.779740244768732</v>
      </c>
    </row>
    <row r="81" spans="1:45">
      <c r="B81" s="20">
        <f t="shared" si="202"/>
        <v>183</v>
      </c>
      <c r="C81" s="18">
        <f t="shared" si="183"/>
        <v>162.89629500000001</v>
      </c>
      <c r="D81" s="63">
        <f t="shared" si="203"/>
        <v>31.999999999999972</v>
      </c>
      <c r="E81" s="63">
        <f t="shared" si="204"/>
        <v>88</v>
      </c>
      <c r="F81" s="63">
        <f t="shared" si="204"/>
        <v>162</v>
      </c>
      <c r="G81" s="63">
        <f t="shared" si="184"/>
        <v>18</v>
      </c>
      <c r="H81" s="69">
        <f t="shared" si="185"/>
        <v>43.761742692679796</v>
      </c>
      <c r="I81" s="51">
        <f t="shared" si="205"/>
        <v>0</v>
      </c>
      <c r="J81" s="3"/>
      <c r="K81" s="21"/>
      <c r="L81" s="21">
        <f t="shared" si="186"/>
        <v>62.249497989943649</v>
      </c>
      <c r="M81" s="83">
        <f t="shared" si="187"/>
        <v>0</v>
      </c>
      <c r="N81" s="3"/>
      <c r="O81" s="3"/>
      <c r="P81" s="23">
        <f>P$83</f>
        <v>1</v>
      </c>
      <c r="Q81" s="20">
        <f t="shared" si="188"/>
        <v>183</v>
      </c>
      <c r="R81" s="23">
        <f>R$83</f>
        <v>0.3</v>
      </c>
      <c r="S81" s="3">
        <f t="shared" si="212"/>
        <v>54.9</v>
      </c>
      <c r="T81" s="3">
        <f t="shared" si="213"/>
        <v>27.45</v>
      </c>
      <c r="U81" s="3">
        <f t="shared" si="189"/>
        <v>53.55</v>
      </c>
      <c r="V81" s="3"/>
      <c r="W81" s="3">
        <f t="shared" si="190"/>
        <v>53.600881571728131</v>
      </c>
      <c r="X81" s="92">
        <f t="shared" si="206"/>
        <v>32.53024225482509</v>
      </c>
      <c r="Y81" s="61">
        <f t="shared" si="214"/>
        <v>62.656357707399557</v>
      </c>
      <c r="Z81" s="9">
        <f t="shared" si="215"/>
        <v>31.277600034184953</v>
      </c>
      <c r="AA81" s="9">
        <f t="shared" si="191"/>
        <v>35.752468478154057</v>
      </c>
      <c r="AB81" s="4">
        <f t="shared" si="192"/>
        <v>67.030068512339014</v>
      </c>
      <c r="AC81" s="69">
        <f t="shared" si="193"/>
        <v>-0.31854834043375035</v>
      </c>
      <c r="AD81" s="69">
        <f t="shared" si="207"/>
        <v>110.7918112050188</v>
      </c>
      <c r="AE81" s="64">
        <f t="shared" si="194"/>
        <v>-0.31854834043376457</v>
      </c>
      <c r="AG81" s="128">
        <f t="shared" si="208"/>
        <v>162</v>
      </c>
      <c r="AH81" s="128">
        <f t="shared" si="195"/>
        <v>-0.31854834043375035</v>
      </c>
      <c r="AI81" s="128">
        <f t="shared" si="196"/>
        <v>0</v>
      </c>
      <c r="AJ81" s="128">
        <f t="shared" si="197"/>
        <v>-0.31854834043376457</v>
      </c>
      <c r="AK81" s="61">
        <f t="shared" si="209"/>
        <v>1.9999999999999716</v>
      </c>
      <c r="AM81" s="134">
        <f t="shared" si="198"/>
        <v>1.2499999999999956E-2</v>
      </c>
      <c r="AN81" s="135">
        <f t="shared" si="199"/>
        <v>-4.7298423534088974E-3</v>
      </c>
      <c r="AO81" s="135">
        <f t="shared" si="200"/>
        <v>0</v>
      </c>
      <c r="AP81" s="134">
        <f t="shared" si="201"/>
        <v>-2.8669544562444083E-3</v>
      </c>
      <c r="AQ81" s="134">
        <f t="shared" si="210"/>
        <v>0</v>
      </c>
      <c r="AS81" s="61">
        <f t="shared" si="211"/>
        <v>94.779740244768732</v>
      </c>
    </row>
    <row r="82" spans="1:45">
      <c r="B82" s="20">
        <f t="shared" si="202"/>
        <v>183</v>
      </c>
      <c r="C82" s="18">
        <f t="shared" si="183"/>
        <v>162.89629500000001</v>
      </c>
      <c r="D82" s="63">
        <f t="shared" si="203"/>
        <v>30.999999999999972</v>
      </c>
      <c r="E82" s="63">
        <f t="shared" si="204"/>
        <v>88</v>
      </c>
      <c r="F82" s="63">
        <f t="shared" si="204"/>
        <v>161</v>
      </c>
      <c r="G82" s="63">
        <f t="shared" si="184"/>
        <v>19</v>
      </c>
      <c r="H82" s="69">
        <f t="shared" si="185"/>
        <v>43.761742692679796</v>
      </c>
      <c r="I82" s="51">
        <f t="shared" si="205"/>
        <v>0</v>
      </c>
      <c r="J82" s="3"/>
      <c r="K82" s="21"/>
      <c r="L82" s="21">
        <f t="shared" si="186"/>
        <v>62.249497989943649</v>
      </c>
      <c r="M82" s="83">
        <f t="shared" si="187"/>
        <v>0</v>
      </c>
      <c r="N82" s="3"/>
      <c r="O82" s="3"/>
      <c r="P82" s="23">
        <f>P$83</f>
        <v>1</v>
      </c>
      <c r="Q82" s="20">
        <f t="shared" si="188"/>
        <v>183</v>
      </c>
      <c r="R82" s="23">
        <f>R$83</f>
        <v>0.3</v>
      </c>
      <c r="S82" s="3">
        <f t="shared" si="212"/>
        <v>54.9</v>
      </c>
      <c r="T82" s="3">
        <f t="shared" si="213"/>
        <v>27.45</v>
      </c>
      <c r="U82" s="3">
        <f t="shared" si="189"/>
        <v>53.05</v>
      </c>
      <c r="V82" s="3"/>
      <c r="W82" s="3">
        <f t="shared" si="190"/>
        <v>53.600881571728131</v>
      </c>
      <c r="X82" s="92">
        <f t="shared" si="206"/>
        <v>32.53024225482509</v>
      </c>
      <c r="Y82" s="61">
        <f t="shared" si="214"/>
        <v>62.229568222490563</v>
      </c>
      <c r="Z82" s="9">
        <f t="shared" si="215"/>
        <v>31.516611789283132</v>
      </c>
      <c r="AA82" s="9">
        <f t="shared" si="191"/>
        <v>35.673209271675198</v>
      </c>
      <c r="AB82" s="4">
        <f t="shared" si="192"/>
        <v>67.189821060958337</v>
      </c>
      <c r="AC82" s="69">
        <f t="shared" si="193"/>
        <v>-0.15879579181442693</v>
      </c>
      <c r="AD82" s="69">
        <f t="shared" si="207"/>
        <v>110.95156375363814</v>
      </c>
      <c r="AE82" s="64">
        <f t="shared" si="194"/>
        <v>-0.15879579181442693</v>
      </c>
      <c r="AG82" s="128">
        <f t="shared" si="208"/>
        <v>161</v>
      </c>
      <c r="AH82" s="128">
        <f t="shared" si="195"/>
        <v>-0.15879579181442693</v>
      </c>
      <c r="AI82" s="128">
        <f t="shared" si="196"/>
        <v>0</v>
      </c>
      <c r="AJ82" s="128">
        <f t="shared" si="197"/>
        <v>-0.15879579181442693</v>
      </c>
      <c r="AK82" s="61">
        <f t="shared" si="209"/>
        <v>0.99999999999997158</v>
      </c>
      <c r="AM82" s="134">
        <f t="shared" si="198"/>
        <v>6.2500000000000888E-3</v>
      </c>
      <c r="AN82" s="135">
        <f t="shared" si="199"/>
        <v>-2.3578181592290859E-3</v>
      </c>
      <c r="AO82" s="135">
        <f t="shared" si="200"/>
        <v>0</v>
      </c>
      <c r="AP82" s="134">
        <f t="shared" si="201"/>
        <v>-1.4291717933776482E-3</v>
      </c>
      <c r="AQ82" s="134">
        <f t="shared" si="210"/>
        <v>0</v>
      </c>
      <c r="AS82" s="61">
        <f t="shared" si="211"/>
        <v>94.779740244768732</v>
      </c>
    </row>
    <row r="83" spans="1:45" s="15" customFormat="1">
      <c r="B83" s="20">
        <f t="shared" si="202"/>
        <v>183</v>
      </c>
      <c r="C83" s="37">
        <f>100*(0.297865*B83/100+1.08387)</f>
        <v>162.89629500000001</v>
      </c>
      <c r="D83" s="63">
        <f t="shared" si="203"/>
        <v>30</v>
      </c>
      <c r="E83" s="63">
        <f t="shared" si="204"/>
        <v>88</v>
      </c>
      <c r="F83" s="63">
        <f t="shared" si="204"/>
        <v>160</v>
      </c>
      <c r="G83" s="40">
        <f>(E83+2)*2 -F83</f>
        <v>20</v>
      </c>
      <c r="H83" s="70">
        <f>DEGREES(ACOS((F83-D83)/2/(E83+2)))</f>
        <v>43.761742692679796</v>
      </c>
      <c r="I83" s="70">
        <f t="shared" si="205"/>
        <v>0</v>
      </c>
      <c r="J83" s="70">
        <f>DEGREES(C83/(E83-6+2))</f>
        <v>111.11035954545257</v>
      </c>
      <c r="K83" s="44">
        <f>J83-H83</f>
        <v>67.348616852772778</v>
      </c>
      <c r="L83" s="41">
        <f>((F83-D83)/2)*TAN(RADIANS(H83))</f>
        <v>62.249497989943649</v>
      </c>
      <c r="M83" s="83">
        <f>L83-L$83</f>
        <v>0</v>
      </c>
      <c r="N83" s="39">
        <f>(E83+2)*SIN(RADIANS(K83))</f>
        <v>83.057868711361749</v>
      </c>
      <c r="O83" s="39">
        <f>(F83/2)- (E83+2)*COS(RADIANS(K83))</f>
        <v>45.338920312168661</v>
      </c>
      <c r="P83" s="42">
        <v>1</v>
      </c>
      <c r="Q83" s="43">
        <f t="shared" si="188"/>
        <v>183</v>
      </c>
      <c r="R83" s="42">
        <v>0.3</v>
      </c>
      <c r="S83" s="39">
        <f>Q83*R83</f>
        <v>54.9</v>
      </c>
      <c r="T83" s="39">
        <f>S83/2</f>
        <v>27.45</v>
      </c>
      <c r="U83" s="39">
        <f t="shared" si="189"/>
        <v>52.55</v>
      </c>
      <c r="V83" s="39">
        <f>O83-T83</f>
        <v>17.888920312168661</v>
      </c>
      <c r="W83" s="39">
        <f>COS(RADIANS(17))*((Q83-S83)/2-8)</f>
        <v>53.600881571728131</v>
      </c>
      <c r="X83" s="40">
        <f xml:space="preserve"> N83- SQRT(W83*W83-V83*V83)</f>
        <v>32.53024225482509</v>
      </c>
      <c r="Y83" s="39">
        <f>SQRT(X83*X83+U83*U83)</f>
        <v>61.803876586809722</v>
      </c>
      <c r="Z83" s="44">
        <f>DEGREES(ASIN(X83/Y83))</f>
        <v>31.75892033135543</v>
      </c>
      <c r="AA83" s="44">
        <f t="shared" si="191"/>
        <v>35.589696521417338</v>
      </c>
      <c r="AB83" s="52">
        <f t="shared" si="192"/>
        <v>67.348616852772764</v>
      </c>
      <c r="AC83" s="70">
        <f>AB83-AB$83</f>
        <v>0</v>
      </c>
      <c r="AD83" s="70">
        <f t="shared" si="207"/>
        <v>111.11035954545255</v>
      </c>
      <c r="AE83" s="71">
        <f>H83+AB83-J$83</f>
        <v>0</v>
      </c>
      <c r="AF83" s="123"/>
      <c r="AG83" s="128">
        <f t="shared" si="208"/>
        <v>160</v>
      </c>
      <c r="AH83" s="128">
        <f t="shared" si="195"/>
        <v>0</v>
      </c>
      <c r="AI83" s="128">
        <f t="shared" si="196"/>
        <v>0</v>
      </c>
      <c r="AJ83" s="128">
        <f t="shared" si="197"/>
        <v>0</v>
      </c>
      <c r="AK83" s="61">
        <f t="shared" si="209"/>
        <v>0</v>
      </c>
      <c r="AM83" s="134">
        <f>AG83/AG$83-1</f>
        <v>0</v>
      </c>
      <c r="AN83" s="135">
        <f>AB83/AB$83-1</f>
        <v>0</v>
      </c>
      <c r="AO83" s="135">
        <f>H83/H$83-1</f>
        <v>0</v>
      </c>
      <c r="AP83" s="134">
        <f>AD83/AD$83-1</f>
        <v>0</v>
      </c>
      <c r="AQ83" s="134">
        <f>(Q83+60)/(Q$83+60) -1</f>
        <v>0</v>
      </c>
      <c r="AS83" s="61">
        <f t="shared" si="211"/>
        <v>94.779740244768732</v>
      </c>
    </row>
    <row r="84" spans="1:45">
      <c r="A84" s="5"/>
      <c r="B84" s="20">
        <f t="shared" si="202"/>
        <v>183</v>
      </c>
      <c r="C84" s="18">
        <f t="shared" ref="C84:C88" si="216">100*(0.297865*B84/100+1.08387)</f>
        <v>162.89629500000001</v>
      </c>
      <c r="D84" s="63">
        <f t="shared" si="203"/>
        <v>28.999999999999972</v>
      </c>
      <c r="E84" s="63">
        <f t="shared" si="204"/>
        <v>88</v>
      </c>
      <c r="F84" s="63">
        <f t="shared" si="204"/>
        <v>159</v>
      </c>
      <c r="G84" s="63">
        <f t="shared" ref="G84:G88" si="217">(E84+2)*2 -F84</f>
        <v>21</v>
      </c>
      <c r="H84" s="69">
        <f>H$83</f>
        <v>43.761742692679796</v>
      </c>
      <c r="I84" s="51">
        <f t="shared" si="205"/>
        <v>0</v>
      </c>
      <c r="J84" s="3"/>
      <c r="K84" s="21"/>
      <c r="L84" s="21">
        <f t="shared" ref="L84:L88" si="218">L$83</f>
        <v>62.249497989943649</v>
      </c>
      <c r="M84" s="83">
        <f t="shared" ref="M84:M88" si="219">L84-L$83</f>
        <v>0</v>
      </c>
      <c r="N84" s="3"/>
      <c r="O84" s="3"/>
      <c r="P84" s="23">
        <f>P$83</f>
        <v>1</v>
      </c>
      <c r="Q84" s="20">
        <f t="shared" si="188"/>
        <v>183</v>
      </c>
      <c r="R84" s="23">
        <f>R$83</f>
        <v>0.3</v>
      </c>
      <c r="S84" s="3">
        <f>Q84*R84</f>
        <v>54.9</v>
      </c>
      <c r="T84" s="3">
        <f>S84/2</f>
        <v>27.45</v>
      </c>
      <c r="U84" s="3">
        <f t="shared" si="189"/>
        <v>52.05</v>
      </c>
      <c r="V84" s="3"/>
      <c r="W84" s="3">
        <f t="shared" ref="W84" si="220">COS(RADIANS(17))*((Q84-S84)/2 -8)</f>
        <v>53.600881571728131</v>
      </c>
      <c r="X84" s="92">
        <f>X$83+M84</f>
        <v>32.53024225482509</v>
      </c>
      <c r="Y84" s="61">
        <f>SQRT(X84*X84+U84*U84)</f>
        <v>61.379305642517721</v>
      </c>
      <c r="Z84" s="9">
        <f>DEGREES(ASIN(X84/Y84))</f>
        <v>32.004585495629485</v>
      </c>
      <c r="AA84" s="9">
        <f t="shared" si="191"/>
        <v>35.501852899482714</v>
      </c>
      <c r="AB84" s="4">
        <f t="shared" si="192"/>
        <v>67.506438395112198</v>
      </c>
      <c r="AC84" s="69">
        <f t="shared" ref="AC84:AC88" si="221">AB84-AB$83</f>
        <v>0.15782154233943402</v>
      </c>
      <c r="AD84" s="69">
        <f t="shared" si="207"/>
        <v>111.26818108779199</v>
      </c>
      <c r="AE84" s="64">
        <f t="shared" ref="AE84:AE88" si="222">H84+AB84-J$83</f>
        <v>0.15782154233941981</v>
      </c>
      <c r="AG84" s="128">
        <f t="shared" si="208"/>
        <v>159</v>
      </c>
      <c r="AH84" s="128">
        <f t="shared" si="195"/>
        <v>0.15782154233943402</v>
      </c>
      <c r="AI84" s="128">
        <f t="shared" si="196"/>
        <v>0</v>
      </c>
      <c r="AJ84" s="128">
        <f t="shared" si="197"/>
        <v>0.15782154233941981</v>
      </c>
      <c r="AK84" s="61">
        <f t="shared" si="209"/>
        <v>-1.0000000000000284</v>
      </c>
      <c r="AM84" s="134">
        <f t="shared" ref="AM84:AM88" si="223">AG84/AG$83-1</f>
        <v>-6.2499999999999778E-3</v>
      </c>
      <c r="AN84" s="135">
        <f t="shared" ref="AN84:AN88" si="224">AB84/AB$83-1</f>
        <v>2.3433523911031706E-3</v>
      </c>
      <c r="AO84" s="135">
        <f t="shared" ref="AO84:AO88" si="225">H84/H$83-1</f>
        <v>0</v>
      </c>
      <c r="AP84" s="134">
        <f t="shared" ref="AP84:AP88" si="226">AD84/AD$83-1</f>
        <v>1.4204034887932426E-3</v>
      </c>
      <c r="AQ84" s="134">
        <f t="shared" ref="AQ84:AQ88" si="227">(Q84+60)/(Q$83+60) -1</f>
        <v>0</v>
      </c>
      <c r="AS84" s="61">
        <f t="shared" si="211"/>
        <v>94.779740244768732</v>
      </c>
    </row>
    <row r="85" spans="1:45">
      <c r="B85" s="20">
        <f t="shared" si="202"/>
        <v>183</v>
      </c>
      <c r="C85" s="18">
        <f t="shared" si="216"/>
        <v>162.89629500000001</v>
      </c>
      <c r="D85" s="63">
        <f t="shared" si="203"/>
        <v>27.999999999999972</v>
      </c>
      <c r="E85" s="63">
        <f t="shared" si="204"/>
        <v>88</v>
      </c>
      <c r="F85" s="63">
        <f t="shared" si="204"/>
        <v>158</v>
      </c>
      <c r="G85" s="63">
        <f t="shared" si="217"/>
        <v>22</v>
      </c>
      <c r="H85" s="69">
        <f t="shared" ref="H85:H88" si="228">H$83</f>
        <v>43.761742692679796</v>
      </c>
      <c r="I85" s="51">
        <f t="shared" si="205"/>
        <v>0</v>
      </c>
      <c r="J85" s="3"/>
      <c r="K85" s="21"/>
      <c r="L85" s="21">
        <f t="shared" si="218"/>
        <v>62.249497989943649</v>
      </c>
      <c r="M85" s="83">
        <f t="shared" si="219"/>
        <v>0</v>
      </c>
      <c r="N85" s="3"/>
      <c r="O85" s="3"/>
      <c r="P85" s="23">
        <f>P$83</f>
        <v>1</v>
      </c>
      <c r="Q85" s="20">
        <f t="shared" si="188"/>
        <v>183</v>
      </c>
      <c r="R85" s="23">
        <f>R$83</f>
        <v>0.3</v>
      </c>
      <c r="S85" s="3">
        <f>Q85*R85</f>
        <v>54.9</v>
      </c>
      <c r="T85" s="3">
        <f>S85/2</f>
        <v>27.45</v>
      </c>
      <c r="U85" s="3">
        <f t="shared" si="189"/>
        <v>51.55</v>
      </c>
      <c r="V85" s="3"/>
      <c r="W85" s="3">
        <f t="shared" ref="W85:W88" si="229">COS(RADIANS(17))*((Q85-S85)/2 -8)</f>
        <v>53.600881571728131</v>
      </c>
      <c r="X85" s="92">
        <f t="shared" ref="X85:X88" si="230">X$83+M85</f>
        <v>32.53024225482509</v>
      </c>
      <c r="Y85" s="61">
        <f>SQRT(X85*X85+U85*U85)</f>
        <v>60.955878807196342</v>
      </c>
      <c r="Z85" s="9">
        <f>DEGREES(ASIN(X85/Y85))</f>
        <v>32.253668292809408</v>
      </c>
      <c r="AA85" s="9">
        <f t="shared" si="191"/>
        <v>35.409598912787565</v>
      </c>
      <c r="AB85" s="4">
        <f t="shared" si="192"/>
        <v>67.663267205596981</v>
      </c>
      <c r="AC85" s="69">
        <f t="shared" si="221"/>
        <v>0.31465035282421638</v>
      </c>
      <c r="AD85" s="69">
        <f t="shared" si="207"/>
        <v>111.42500989827678</v>
      </c>
      <c r="AE85" s="64">
        <f t="shared" si="222"/>
        <v>0.31465035282421638</v>
      </c>
      <c r="AG85" s="128">
        <f t="shared" si="208"/>
        <v>158</v>
      </c>
      <c r="AH85" s="128">
        <f t="shared" si="195"/>
        <v>0.31465035282421638</v>
      </c>
      <c r="AI85" s="128">
        <f t="shared" si="196"/>
        <v>0</v>
      </c>
      <c r="AJ85" s="128">
        <f t="shared" si="197"/>
        <v>0.31465035282421638</v>
      </c>
      <c r="AK85" s="61">
        <f t="shared" si="209"/>
        <v>-2.0000000000000284</v>
      </c>
      <c r="AM85" s="134">
        <f t="shared" si="223"/>
        <v>-1.2499999999999956E-2</v>
      </c>
      <c r="AN85" s="135">
        <f t="shared" si="224"/>
        <v>4.6719645855839431E-3</v>
      </c>
      <c r="AO85" s="135">
        <f t="shared" si="225"/>
        <v>0</v>
      </c>
      <c r="AP85" s="134">
        <f t="shared" si="226"/>
        <v>2.8318723304601168E-3</v>
      </c>
      <c r="AQ85" s="134">
        <f t="shared" si="227"/>
        <v>0</v>
      </c>
      <c r="AS85" s="61">
        <f t="shared" si="211"/>
        <v>94.779740244768732</v>
      </c>
    </row>
    <row r="86" spans="1:45">
      <c r="B86" s="20">
        <f t="shared" si="202"/>
        <v>183</v>
      </c>
      <c r="C86" s="18">
        <f t="shared" si="216"/>
        <v>162.89629500000001</v>
      </c>
      <c r="D86" s="63">
        <f t="shared" si="203"/>
        <v>26.999999999999972</v>
      </c>
      <c r="E86" s="63">
        <f t="shared" si="204"/>
        <v>88</v>
      </c>
      <c r="F86" s="63">
        <f t="shared" si="204"/>
        <v>157</v>
      </c>
      <c r="G86" s="63">
        <f t="shared" si="217"/>
        <v>23</v>
      </c>
      <c r="H86" s="69">
        <f t="shared" si="228"/>
        <v>43.761742692679796</v>
      </c>
      <c r="I86" s="51">
        <f t="shared" si="205"/>
        <v>0</v>
      </c>
      <c r="J86" s="3"/>
      <c r="K86" s="21"/>
      <c r="L86" s="21">
        <f t="shared" si="218"/>
        <v>62.249497989943649</v>
      </c>
      <c r="M86" s="83">
        <f t="shared" si="219"/>
        <v>0</v>
      </c>
      <c r="N86" s="3"/>
      <c r="O86" s="3"/>
      <c r="P86" s="23">
        <f>P$83</f>
        <v>1</v>
      </c>
      <c r="Q86" s="20">
        <f t="shared" si="188"/>
        <v>183</v>
      </c>
      <c r="R86" s="23">
        <f>R$83</f>
        <v>0.3</v>
      </c>
      <c r="S86" s="3">
        <f t="shared" ref="S86:S88" si="231">Q86*R86</f>
        <v>54.9</v>
      </c>
      <c r="T86" s="3">
        <f t="shared" ref="T86:T88" si="232">S86/2</f>
        <v>27.45</v>
      </c>
      <c r="U86" s="3">
        <f t="shared" si="189"/>
        <v>51.05</v>
      </c>
      <c r="V86" s="3"/>
      <c r="W86" s="3">
        <f t="shared" si="229"/>
        <v>53.600881571728131</v>
      </c>
      <c r="X86" s="92">
        <f t="shared" si="230"/>
        <v>32.53024225482509</v>
      </c>
      <c r="Y86" s="61">
        <f t="shared" ref="Y86:Y88" si="233">SQRT(X86*X86+U86*U86)</f>
        <v>60.533620089646114</v>
      </c>
      <c r="Z86" s="9">
        <f t="shared" ref="Z86:Z88" si="234">DEGREES(ASIN(X86/Y86))</f>
        <v>32.506230926114924</v>
      </c>
      <c r="AA86" s="9">
        <f t="shared" si="191"/>
        <v>35.312852833349908</v>
      </c>
      <c r="AB86" s="4">
        <f t="shared" si="192"/>
        <v>67.819083759464831</v>
      </c>
      <c r="AC86" s="69">
        <f t="shared" si="221"/>
        <v>0.47046690669206725</v>
      </c>
      <c r="AD86" s="69">
        <f t="shared" si="207"/>
        <v>111.58082645214463</v>
      </c>
      <c r="AE86" s="64">
        <f t="shared" si="222"/>
        <v>0.47046690669206725</v>
      </c>
      <c r="AG86" s="128">
        <f t="shared" si="208"/>
        <v>157</v>
      </c>
      <c r="AH86" s="128">
        <f t="shared" si="195"/>
        <v>0.47046690669206725</v>
      </c>
      <c r="AI86" s="128">
        <f t="shared" si="196"/>
        <v>0</v>
      </c>
      <c r="AJ86" s="128">
        <f t="shared" si="197"/>
        <v>0.47046690669206725</v>
      </c>
      <c r="AK86" s="61">
        <f t="shared" si="209"/>
        <v>-3.0000000000000284</v>
      </c>
      <c r="AM86" s="134">
        <f t="shared" si="223"/>
        <v>-1.8750000000000044E-2</v>
      </c>
      <c r="AN86" s="135">
        <f t="shared" si="224"/>
        <v>6.985546677529042E-3</v>
      </c>
      <c r="AO86" s="135">
        <f t="shared" si="225"/>
        <v>0</v>
      </c>
      <c r="AP86" s="134">
        <f t="shared" si="226"/>
        <v>4.2342308009508667E-3</v>
      </c>
      <c r="AQ86" s="134">
        <f t="shared" si="227"/>
        <v>0</v>
      </c>
      <c r="AS86" s="61">
        <f t="shared" si="211"/>
        <v>94.779740244768732</v>
      </c>
    </row>
    <row r="87" spans="1:45">
      <c r="B87" s="20">
        <f t="shared" si="202"/>
        <v>183</v>
      </c>
      <c r="C87" s="18">
        <f t="shared" si="216"/>
        <v>162.89629500000001</v>
      </c>
      <c r="D87" s="63">
        <f t="shared" si="203"/>
        <v>25.999999999999972</v>
      </c>
      <c r="E87" s="63">
        <f t="shared" si="204"/>
        <v>88</v>
      </c>
      <c r="F87" s="63">
        <f t="shared" si="204"/>
        <v>156</v>
      </c>
      <c r="G87" s="63">
        <f t="shared" si="217"/>
        <v>24</v>
      </c>
      <c r="H87" s="69">
        <f t="shared" si="228"/>
        <v>43.761742692679796</v>
      </c>
      <c r="I87" s="51">
        <f t="shared" si="205"/>
        <v>0</v>
      </c>
      <c r="J87" s="3"/>
      <c r="K87" s="21"/>
      <c r="L87" s="21">
        <f t="shared" si="218"/>
        <v>62.249497989943649</v>
      </c>
      <c r="M87" s="83">
        <f t="shared" si="219"/>
        <v>0</v>
      </c>
      <c r="N87" s="3"/>
      <c r="O87" s="3"/>
      <c r="P87" s="23">
        <f>P$83</f>
        <v>1</v>
      </c>
      <c r="Q87" s="20">
        <f t="shared" si="188"/>
        <v>183</v>
      </c>
      <c r="R87" s="23">
        <f>R$83</f>
        <v>0.3</v>
      </c>
      <c r="S87" s="3">
        <f t="shared" si="231"/>
        <v>54.9</v>
      </c>
      <c r="T87" s="3">
        <f t="shared" si="232"/>
        <v>27.45</v>
      </c>
      <c r="U87" s="3">
        <f t="shared" si="189"/>
        <v>50.55</v>
      </c>
      <c r="V87" s="3"/>
      <c r="W87" s="3">
        <f t="shared" si="229"/>
        <v>53.600881571728131</v>
      </c>
      <c r="X87" s="92">
        <f t="shared" si="230"/>
        <v>32.53024225482509</v>
      </c>
      <c r="Y87" s="61">
        <f t="shared" si="233"/>
        <v>60.11255410609008</v>
      </c>
      <c r="Z87" s="9">
        <f t="shared" si="234"/>
        <v>32.762336807900425</v>
      </c>
      <c r="AA87" s="9">
        <f t="shared" si="191"/>
        <v>35.21153062518308</v>
      </c>
      <c r="AB87" s="4">
        <f t="shared" si="192"/>
        <v>67.973867433083512</v>
      </c>
      <c r="AC87" s="69">
        <f t="shared" si="221"/>
        <v>0.62525058031074821</v>
      </c>
      <c r="AD87" s="69">
        <f t="shared" si="207"/>
        <v>111.73561012576332</v>
      </c>
      <c r="AE87" s="64">
        <f t="shared" si="222"/>
        <v>0.62525058031074821</v>
      </c>
      <c r="AG87" s="128">
        <f t="shared" si="208"/>
        <v>156</v>
      </c>
      <c r="AH87" s="128">
        <f t="shared" si="195"/>
        <v>0.62525058031074821</v>
      </c>
      <c r="AI87" s="128">
        <f t="shared" si="196"/>
        <v>0</v>
      </c>
      <c r="AJ87" s="128">
        <f t="shared" si="197"/>
        <v>0.62525058031074821</v>
      </c>
      <c r="AK87" s="61">
        <f t="shared" si="209"/>
        <v>-4.0000000000000284</v>
      </c>
      <c r="AM87" s="134">
        <f t="shared" si="223"/>
        <v>-2.5000000000000022E-2</v>
      </c>
      <c r="AN87" s="135">
        <f t="shared" si="224"/>
        <v>9.2837924448778697E-3</v>
      </c>
      <c r="AO87" s="135">
        <f t="shared" si="225"/>
        <v>0</v>
      </c>
      <c r="AP87" s="134">
        <f t="shared" si="226"/>
        <v>5.6272932863203895E-3</v>
      </c>
      <c r="AQ87" s="134">
        <f t="shared" si="227"/>
        <v>0</v>
      </c>
      <c r="AS87" s="61">
        <f t="shared" si="211"/>
        <v>94.779740244768732</v>
      </c>
    </row>
    <row r="88" spans="1:45">
      <c r="B88" s="20">
        <f t="shared" si="202"/>
        <v>183</v>
      </c>
      <c r="C88" s="18">
        <f t="shared" si="216"/>
        <v>162.89629500000001</v>
      </c>
      <c r="D88" s="63">
        <f t="shared" si="203"/>
        <v>24.999999999999972</v>
      </c>
      <c r="E88" s="63">
        <f t="shared" si="204"/>
        <v>88</v>
      </c>
      <c r="F88" s="63">
        <f t="shared" si="204"/>
        <v>155</v>
      </c>
      <c r="G88" s="63">
        <f t="shared" si="217"/>
        <v>25</v>
      </c>
      <c r="H88" s="69">
        <f t="shared" si="228"/>
        <v>43.761742692679796</v>
      </c>
      <c r="I88" s="51">
        <f t="shared" si="205"/>
        <v>0</v>
      </c>
      <c r="J88" s="3"/>
      <c r="K88" s="21"/>
      <c r="L88" s="21">
        <f t="shared" si="218"/>
        <v>62.249497989943649</v>
      </c>
      <c r="M88" s="83">
        <f t="shared" si="219"/>
        <v>0</v>
      </c>
      <c r="N88" s="3"/>
      <c r="O88" s="3"/>
      <c r="P88" s="23">
        <f>P$83</f>
        <v>1</v>
      </c>
      <c r="Q88" s="20">
        <f t="shared" si="188"/>
        <v>183</v>
      </c>
      <c r="R88" s="23">
        <f>R$83</f>
        <v>0.3</v>
      </c>
      <c r="S88" s="3">
        <f t="shared" si="231"/>
        <v>54.9</v>
      </c>
      <c r="T88" s="3">
        <f t="shared" si="232"/>
        <v>27.45</v>
      </c>
      <c r="U88" s="3">
        <f t="shared" si="189"/>
        <v>50.05</v>
      </c>
      <c r="V88" s="3"/>
      <c r="W88" s="3">
        <f t="shared" si="229"/>
        <v>53.600881571728131</v>
      </c>
      <c r="X88" s="92">
        <f t="shared" si="230"/>
        <v>32.53024225482509</v>
      </c>
      <c r="Y88" s="92">
        <f t="shared" si="233"/>
        <v>59.692706096788804</v>
      </c>
      <c r="Z88" s="105">
        <f t="shared" si="234"/>
        <v>33.022050575782984</v>
      </c>
      <c r="AA88" s="105">
        <f t="shared" si="191"/>
        <v>35.10554586754472</v>
      </c>
      <c r="AB88" s="97">
        <f t="shared" si="192"/>
        <v>68.127596443327704</v>
      </c>
      <c r="AC88" s="69">
        <f t="shared" si="221"/>
        <v>0.7789795905549397</v>
      </c>
      <c r="AD88" s="93">
        <f t="shared" si="207"/>
        <v>111.88933913600749</v>
      </c>
      <c r="AE88" s="64">
        <f t="shared" si="222"/>
        <v>0.77897959055492549</v>
      </c>
      <c r="AG88" s="128">
        <f t="shared" si="208"/>
        <v>155</v>
      </c>
      <c r="AH88" s="128">
        <f t="shared" si="195"/>
        <v>0.7789795905549397</v>
      </c>
      <c r="AI88" s="128">
        <f t="shared" si="196"/>
        <v>0</v>
      </c>
      <c r="AJ88" s="128">
        <f t="shared" si="197"/>
        <v>0.77897959055492549</v>
      </c>
      <c r="AK88" s="61">
        <f t="shared" si="209"/>
        <v>-5.0000000000000284</v>
      </c>
      <c r="AM88" s="134">
        <f t="shared" si="223"/>
        <v>-3.125E-2</v>
      </c>
      <c r="AN88" s="135">
        <f t="shared" si="224"/>
        <v>1.156637844928321E-2</v>
      </c>
      <c r="AO88" s="135">
        <f t="shared" si="225"/>
        <v>0</v>
      </c>
      <c r="AP88" s="134">
        <f t="shared" si="226"/>
        <v>7.0108637371142368E-3</v>
      </c>
      <c r="AQ88" s="134">
        <f t="shared" si="227"/>
        <v>0</v>
      </c>
      <c r="AS88" s="61">
        <f t="shared" si="211"/>
        <v>94.779740244768732</v>
      </c>
    </row>
    <row r="89" spans="1:45">
      <c r="A89" s="12"/>
      <c r="B89" s="5"/>
      <c r="C89" s="19" t="s">
        <v>24</v>
      </c>
      <c r="D89" s="19"/>
      <c r="E89" s="19"/>
      <c r="F89" s="5"/>
      <c r="G89" s="13"/>
      <c r="H89" s="13"/>
      <c r="J89" s="12"/>
      <c r="K89" s="13"/>
      <c r="L89" s="12"/>
      <c r="M89" s="13"/>
      <c r="N89" s="13"/>
      <c r="O89" s="13"/>
      <c r="P89" s="14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K89" s="59"/>
    </row>
    <row r="90" spans="1:45">
      <c r="A90" s="15" t="s">
        <v>47</v>
      </c>
      <c r="AG90" s="59" t="s">
        <v>110</v>
      </c>
      <c r="AH90" s="59"/>
      <c r="AI90" s="59"/>
      <c r="AJ90" s="59"/>
      <c r="AK90" s="59"/>
      <c r="AL90" s="59"/>
    </row>
    <row r="91" spans="1:45" ht="17.25" customHeight="1">
      <c r="A91" s="60" t="s">
        <v>107</v>
      </c>
      <c r="B91" s="60">
        <v>0</v>
      </c>
      <c r="C91" s="2"/>
      <c r="D91" s="60">
        <v>0</v>
      </c>
      <c r="E91" s="60">
        <v>0.5</v>
      </c>
      <c r="F91" s="60">
        <v>1</v>
      </c>
      <c r="P91" s="2" t="s">
        <v>52</v>
      </c>
      <c r="Q91" s="2"/>
      <c r="R91" s="2"/>
      <c r="S91" s="10"/>
      <c r="T91" s="10"/>
      <c r="V91" s="60" t="s">
        <v>132</v>
      </c>
      <c r="W91" s="60">
        <v>2.0699999999999998</v>
      </c>
      <c r="X91" s="60" t="s">
        <v>133</v>
      </c>
      <c r="Y91" s="60">
        <v>46</v>
      </c>
      <c r="AG91" s="59"/>
      <c r="AH91" s="59"/>
      <c r="AI91" s="59"/>
      <c r="AJ91" s="59"/>
      <c r="AK91" s="59"/>
      <c r="AL91" s="59"/>
      <c r="AM91" s="59" t="s">
        <v>111</v>
      </c>
      <c r="AN91" s="59"/>
      <c r="AO91" s="59"/>
      <c r="AP91" s="59"/>
      <c r="AQ91" s="59"/>
    </row>
    <row r="92" spans="1:45" s="35" customFormat="1" ht="131.25" customHeight="1">
      <c r="A92" s="27"/>
      <c r="B92" s="48" t="s">
        <v>12</v>
      </c>
      <c r="C92" s="48" t="s">
        <v>8</v>
      </c>
      <c r="D92" s="143" t="s">
        <v>42</v>
      </c>
      <c r="E92" s="28" t="s">
        <v>3</v>
      </c>
      <c r="F92" s="28" t="s">
        <v>4</v>
      </c>
      <c r="G92" s="28" t="s">
        <v>41</v>
      </c>
      <c r="I92" s="66" t="s">
        <v>1</v>
      </c>
      <c r="J92" s="66" t="s">
        <v>6</v>
      </c>
      <c r="K92" s="66" t="s">
        <v>5</v>
      </c>
      <c r="M92" s="30" t="s">
        <v>21</v>
      </c>
      <c r="N92" s="30" t="s">
        <v>20</v>
      </c>
      <c r="O92" s="30" t="s">
        <v>22</v>
      </c>
      <c r="P92" s="46" t="s">
        <v>49</v>
      </c>
      <c r="Q92" s="46" t="s">
        <v>112</v>
      </c>
      <c r="R92" s="48" t="s">
        <v>18</v>
      </c>
      <c r="S92" s="48" t="s">
        <v>19</v>
      </c>
      <c r="T92" s="73" t="s">
        <v>83</v>
      </c>
      <c r="V92" s="28" t="s">
        <v>131</v>
      </c>
      <c r="W92" s="28" t="s">
        <v>171</v>
      </c>
      <c r="AG92" s="28" t="str">
        <f>F92</f>
        <v>span (cm)</v>
      </c>
      <c r="AH92" s="28" t="s">
        <v>113</v>
      </c>
      <c r="AI92" s="28" t="s">
        <v>114</v>
      </c>
      <c r="AJ92" s="28" t="s">
        <v>115</v>
      </c>
      <c r="AK92" s="136" t="str">
        <f>Q92</f>
        <v>distance to move stretcher to stern (cm)</v>
      </c>
      <c r="AL92" s="27"/>
      <c r="AM92" s="28" t="str">
        <f>AG92</f>
        <v>span (cm)</v>
      </c>
      <c r="AN92" s="28" t="str">
        <f t="shared" ref="AN92" si="235">AH92</f>
        <v>Change in catch angle (deg)</v>
      </c>
      <c r="AO92" s="28" t="str">
        <f t="shared" ref="AO92" si="236">AI92</f>
        <v>Change in finish angle (deg)</v>
      </c>
      <c r="AP92" s="28" t="str">
        <f t="shared" ref="AP92" si="237">AJ92</f>
        <v>Change in sweep angle (deg)</v>
      </c>
      <c r="AQ92" s="28" t="str">
        <f t="shared" ref="AQ92" si="238">AK92</f>
        <v>distance to move stretcher to stern (cm)</v>
      </c>
    </row>
    <row r="93" spans="1:45">
      <c r="B93" s="140">
        <f t="shared" ref="B93" si="239">5*B91+B98</f>
        <v>168.3</v>
      </c>
      <c r="C93" s="18">
        <f t="shared" ref="C93:C97" si="240">100*(0.297865*B93/100+1.08387)</f>
        <v>158.51767949999999</v>
      </c>
      <c r="D93" s="140">
        <f t="shared" ref="D93" si="241">5*D91+D98</f>
        <v>30</v>
      </c>
      <c r="E93" s="63">
        <f t="shared" ref="E93" si="242">5*E91+E98</f>
        <v>90.5</v>
      </c>
      <c r="F93" s="63">
        <f>5*F91+F98</f>
        <v>165</v>
      </c>
      <c r="G93" s="20">
        <f t="shared" ref="G93:G97" si="243">(E93+2)*2 -F93</f>
        <v>20</v>
      </c>
      <c r="I93" s="9">
        <f t="shared" ref="I93:I103" si="244">DEGREES(ACOS((F93-D93)/2/(E93+2)))</f>
        <v>43.136258871295773</v>
      </c>
      <c r="J93" s="9">
        <f t="shared" ref="J93:J103" si="245">DEGREES(C93/(E93-6+2))</f>
        <v>104.9987747232075</v>
      </c>
      <c r="K93" s="9">
        <f t="shared" ref="K93:K97" si="246">J93-I93</f>
        <v>61.862515851911731</v>
      </c>
      <c r="M93" s="9">
        <f t="shared" ref="M93:M103" si="247">K93-K$98</f>
        <v>-2.4994797120447672</v>
      </c>
      <c r="N93" s="69">
        <f t="shared" ref="N93:N103" si="248">I93-I$98</f>
        <v>-0.62548382138402303</v>
      </c>
      <c r="O93" s="9">
        <f t="shared" ref="O93:O103" si="249">J93-J$98</f>
        <v>-3.1249635334287973</v>
      </c>
      <c r="P93" s="11">
        <f t="shared" ref="P93:P103" si="250">((F93-D93)/2)*TAN(RADIANS(I93))</f>
        <v>63.245553203367592</v>
      </c>
      <c r="Q93" s="62">
        <f>P$98 -P93</f>
        <v>-0.99605521342394354</v>
      </c>
      <c r="R93" s="3">
        <f t="shared" ref="R93:R103" si="251">(E93+2)*SIN(RADIANS(K93))</f>
        <v>81.568214119382702</v>
      </c>
      <c r="S93" s="3">
        <f t="shared" ref="S93:S103" si="252">(F93/2)- (E93+2)*COS(RADIANS(K93))</f>
        <v>38.8780279517932</v>
      </c>
      <c r="T93" s="79">
        <f>D93-D$98</f>
        <v>0</v>
      </c>
      <c r="V93" s="61">
        <f>Y$91/2+W$91*(E93-4)</f>
        <v>202.05499999999998</v>
      </c>
      <c r="W93" s="61">
        <f>V93+E93</f>
        <v>292.55499999999995</v>
      </c>
      <c r="AG93" s="128">
        <f>F93</f>
        <v>165</v>
      </c>
      <c r="AH93" s="128">
        <f>M93</f>
        <v>-2.4994797120447672</v>
      </c>
      <c r="AI93" s="128">
        <f>N93</f>
        <v>-0.62548382138402303</v>
      </c>
      <c r="AJ93" s="128">
        <f t="shared" ref="AJ93:AJ103" si="253">O93</f>
        <v>-3.1249635334287973</v>
      </c>
      <c r="AK93" s="128">
        <f t="shared" ref="AK93:AK102" si="254">Q93</f>
        <v>-0.99605521342394354</v>
      </c>
      <c r="AL93" s="130"/>
      <c r="AM93" s="134">
        <f t="shared" ref="AM93:AM97" si="255">AG93/AG$98-1</f>
        <v>3.125E-2</v>
      </c>
      <c r="AN93" s="135">
        <f t="shared" ref="AN93:AN97" si="256">K93/K$98-1</f>
        <v>-3.8834714339474385E-2</v>
      </c>
      <c r="AO93" s="135">
        <f t="shared" ref="AO93:AO97" si="257">I93/I$98-1</f>
        <v>-1.4292936773028675E-2</v>
      </c>
      <c r="AP93" s="135">
        <f t="shared" ref="AP93:AP97" si="258">J93/J$98-1</f>
        <v>-2.8901734104046284E-2</v>
      </c>
      <c r="AQ93" s="134">
        <f t="shared" ref="AQ93:AQ97" si="259">(Q93+60)/(Q$98+60) -1</f>
        <v>-1.6600920223732385E-2</v>
      </c>
    </row>
    <row r="94" spans="1:45">
      <c r="B94" s="140">
        <f t="shared" ref="B94" si="260">4*B91+B98</f>
        <v>168.3</v>
      </c>
      <c r="C94" s="18">
        <f t="shared" si="240"/>
        <v>158.51767949999999</v>
      </c>
      <c r="D94" s="140">
        <f t="shared" ref="D94" si="261">4*D91+D98</f>
        <v>30</v>
      </c>
      <c r="E94" s="63">
        <f t="shared" ref="E94" si="262">4*E91+E98</f>
        <v>90</v>
      </c>
      <c r="F94" s="63">
        <f>4*F91+F98</f>
        <v>164</v>
      </c>
      <c r="G94" s="20">
        <f t="shared" si="243"/>
        <v>20</v>
      </c>
      <c r="I94" s="9">
        <f t="shared" si="244"/>
        <v>43.259205927363304</v>
      </c>
      <c r="J94" s="9">
        <f t="shared" si="245"/>
        <v>105.60923271578429</v>
      </c>
      <c r="K94" s="9">
        <f t="shared" si="246"/>
        <v>62.350026788420983</v>
      </c>
      <c r="M94" s="9">
        <f t="shared" si="247"/>
        <v>-2.0119687755355145</v>
      </c>
      <c r="N94" s="69">
        <f t="shared" si="248"/>
        <v>-0.50253676531649205</v>
      </c>
      <c r="O94" s="9">
        <f t="shared" si="249"/>
        <v>-2.5145055408520136</v>
      </c>
      <c r="P94" s="11">
        <f t="shared" si="250"/>
        <v>63.047601064592449</v>
      </c>
      <c r="Q94" s="62">
        <f t="shared" ref="Q94:Q103" si="263">P$98 -P94</f>
        <v>-0.79810307464880026</v>
      </c>
      <c r="R94" s="3">
        <f t="shared" si="251"/>
        <v>81.49352242134097</v>
      </c>
      <c r="S94" s="3">
        <f t="shared" si="252"/>
        <v>39.305670126322418</v>
      </c>
      <c r="T94" s="79">
        <f t="shared" ref="T94:T103" si="264">D94-D$98</f>
        <v>0</v>
      </c>
      <c r="V94" s="61">
        <f t="shared" ref="V94:V103" si="265">Y$91/2+W$91*(E94-4)</f>
        <v>201.01999999999998</v>
      </c>
      <c r="W94" s="61">
        <f t="shared" ref="W94:W103" si="266">V94+E94</f>
        <v>291.02</v>
      </c>
      <c r="AG94" s="128">
        <f t="shared" ref="AG94:AG103" si="267">F94</f>
        <v>164</v>
      </c>
      <c r="AH94" s="128">
        <f t="shared" ref="AH94:AH103" si="268">M94</f>
        <v>-2.0119687755355145</v>
      </c>
      <c r="AI94" s="128">
        <f t="shared" ref="AI94:AI103" si="269">N94</f>
        <v>-0.50253676531649205</v>
      </c>
      <c r="AJ94" s="128">
        <f t="shared" si="253"/>
        <v>-2.5145055408520136</v>
      </c>
      <c r="AK94" s="128">
        <f t="shared" si="254"/>
        <v>-0.79810307464880026</v>
      </c>
      <c r="AL94" s="130"/>
      <c r="AM94" s="134">
        <f t="shared" si="255"/>
        <v>2.4999999999999911E-2</v>
      </c>
      <c r="AN94" s="135">
        <f t="shared" si="256"/>
        <v>-3.1260198785107884E-2</v>
      </c>
      <c r="AO94" s="135">
        <f t="shared" si="257"/>
        <v>-1.1483472421233154E-2</v>
      </c>
      <c r="AP94" s="135">
        <f t="shared" si="258"/>
        <v>-2.3255813953488413E-2</v>
      </c>
      <c r="AQ94" s="134">
        <f t="shared" si="259"/>
        <v>-1.330171791081336E-2</v>
      </c>
    </row>
    <row r="95" spans="1:45">
      <c r="B95" s="140">
        <f t="shared" ref="B95" si="270">3*B91+B98</f>
        <v>168.3</v>
      </c>
      <c r="C95" s="18">
        <f t="shared" si="240"/>
        <v>158.51767949999999</v>
      </c>
      <c r="D95" s="140">
        <f t="shared" ref="D95" si="271">3*D91+D98</f>
        <v>30</v>
      </c>
      <c r="E95" s="63">
        <f t="shared" ref="E95" si="272">3*E91+E98</f>
        <v>89.5</v>
      </c>
      <c r="F95" s="63">
        <f>3*F91+F98</f>
        <v>163</v>
      </c>
      <c r="G95" s="20">
        <f t="shared" si="243"/>
        <v>20</v>
      </c>
      <c r="I95" s="9">
        <f t="shared" si="244"/>
        <v>43.383212348010012</v>
      </c>
      <c r="J95" s="9">
        <f t="shared" si="245"/>
        <v>106.22683056792337</v>
      </c>
      <c r="K95" s="9">
        <f t="shared" si="246"/>
        <v>62.84361821991336</v>
      </c>
      <c r="M95" s="9">
        <f t="shared" si="247"/>
        <v>-1.5183773440431381</v>
      </c>
      <c r="N95" s="69">
        <f t="shared" si="248"/>
        <v>-0.37853034466978386</v>
      </c>
      <c r="O95" s="9">
        <f t="shared" si="249"/>
        <v>-1.896907688712929</v>
      </c>
      <c r="P95" s="11">
        <f t="shared" si="250"/>
        <v>62.849025449882653</v>
      </c>
      <c r="Q95" s="62">
        <f t="shared" si="263"/>
        <v>-0.59952745993900436</v>
      </c>
      <c r="R95" s="3">
        <f t="shared" si="251"/>
        <v>81.41341476078415</v>
      </c>
      <c r="S95" s="3">
        <f t="shared" si="252"/>
        <v>39.737506097114689</v>
      </c>
      <c r="T95" s="79">
        <f t="shared" si="264"/>
        <v>0</v>
      </c>
      <c r="V95" s="61">
        <f t="shared" si="265"/>
        <v>199.98499999999999</v>
      </c>
      <c r="W95" s="61">
        <f t="shared" si="266"/>
        <v>289.48500000000001</v>
      </c>
      <c r="AG95" s="128">
        <f t="shared" si="267"/>
        <v>163</v>
      </c>
      <c r="AH95" s="128">
        <f t="shared" si="268"/>
        <v>-1.5183773440431381</v>
      </c>
      <c r="AI95" s="128">
        <f t="shared" si="269"/>
        <v>-0.37853034466978386</v>
      </c>
      <c r="AJ95" s="128">
        <f t="shared" si="253"/>
        <v>-1.896907688712929</v>
      </c>
      <c r="AK95" s="128">
        <f t="shared" si="254"/>
        <v>-0.59952745993900436</v>
      </c>
      <c r="AL95" s="130"/>
      <c r="AM95" s="134">
        <f t="shared" si="255"/>
        <v>1.8750000000000044E-2</v>
      </c>
      <c r="AN95" s="135">
        <f t="shared" si="256"/>
        <v>-2.3591209855112871E-2</v>
      </c>
      <c r="AO95" s="135">
        <f t="shared" si="257"/>
        <v>-8.6498005193267335E-3</v>
      </c>
      <c r="AP95" s="135">
        <f t="shared" si="258"/>
        <v>-1.7543859649122862E-2</v>
      </c>
      <c r="AQ95" s="134">
        <f t="shared" si="259"/>
        <v>-9.9921243323167763E-3</v>
      </c>
    </row>
    <row r="96" spans="1:45">
      <c r="B96" s="140">
        <f t="shared" ref="B96" si="273">2*B91+B98</f>
        <v>168.3</v>
      </c>
      <c r="C96" s="18">
        <f t="shared" si="240"/>
        <v>158.51767949999999</v>
      </c>
      <c r="D96" s="140">
        <f t="shared" ref="D96" si="274">2*D91+D98</f>
        <v>30</v>
      </c>
      <c r="E96" s="63">
        <f t="shared" ref="E96" si="275">2*E91+E98</f>
        <v>89</v>
      </c>
      <c r="F96" s="63">
        <f>2*F91+F98</f>
        <v>162</v>
      </c>
      <c r="G96" s="20">
        <f t="shared" si="243"/>
        <v>20</v>
      </c>
      <c r="I96" s="9">
        <f t="shared" si="244"/>
        <v>43.508293465369597</v>
      </c>
      <c r="J96" s="9">
        <f t="shared" si="245"/>
        <v>106.85169427714646</v>
      </c>
      <c r="K96" s="9">
        <f t="shared" si="246"/>
        <v>63.343400811776867</v>
      </c>
      <c r="M96" s="9">
        <f t="shared" si="247"/>
        <v>-1.0185947521796308</v>
      </c>
      <c r="N96" s="69">
        <f t="shared" si="248"/>
        <v>-0.25344922731019892</v>
      </c>
      <c r="O96" s="9">
        <f t="shared" si="249"/>
        <v>-1.2720439794898368</v>
      </c>
      <c r="P96" s="11">
        <f t="shared" si="250"/>
        <v>62.649820430708338</v>
      </c>
      <c r="Q96" s="62">
        <f t="shared" si="263"/>
        <v>-0.4003224407646897</v>
      </c>
      <c r="R96" s="3">
        <f t="shared" si="251"/>
        <v>81.327745164290079</v>
      </c>
      <c r="S96" s="3">
        <f t="shared" si="252"/>
        <v>40.173564122099876</v>
      </c>
      <c r="T96" s="79">
        <f t="shared" si="264"/>
        <v>0</v>
      </c>
      <c r="V96" s="61">
        <f t="shared" si="265"/>
        <v>198.95</v>
      </c>
      <c r="W96" s="61">
        <f t="shared" si="266"/>
        <v>287.95</v>
      </c>
      <c r="AG96" s="128">
        <f t="shared" si="267"/>
        <v>162</v>
      </c>
      <c r="AH96" s="128">
        <f t="shared" si="268"/>
        <v>-1.0185947521796308</v>
      </c>
      <c r="AI96" s="128">
        <f t="shared" si="269"/>
        <v>-0.25344922731019892</v>
      </c>
      <c r="AJ96" s="128">
        <f t="shared" si="253"/>
        <v>-1.2720439794898368</v>
      </c>
      <c r="AK96" s="128">
        <f t="shared" si="254"/>
        <v>-0.4003224407646897</v>
      </c>
      <c r="AL96" s="130"/>
      <c r="AM96" s="134">
        <f t="shared" si="255"/>
        <v>1.2499999999999956E-2</v>
      </c>
      <c r="AN96" s="135">
        <f t="shared" si="256"/>
        <v>-1.5826028128159142E-2</v>
      </c>
      <c r="AO96" s="135">
        <f t="shared" si="257"/>
        <v>-5.7915707125757443E-3</v>
      </c>
      <c r="AP96" s="135">
        <f t="shared" si="258"/>
        <v>-1.1764705882352899E-2</v>
      </c>
      <c r="AQ96" s="134">
        <f t="shared" si="259"/>
        <v>-6.6720406794115172E-3</v>
      </c>
    </row>
    <row r="97" spans="1:45">
      <c r="B97" s="140">
        <f t="shared" ref="B97" si="276">B98+B91</f>
        <v>168.3</v>
      </c>
      <c r="C97" s="18">
        <f t="shared" si="240"/>
        <v>158.51767949999999</v>
      </c>
      <c r="D97" s="140">
        <f t="shared" ref="D97:E97" si="277">D98+D91</f>
        <v>30</v>
      </c>
      <c r="E97" s="63">
        <f t="shared" si="277"/>
        <v>88.5</v>
      </c>
      <c r="F97" s="63">
        <f>F98+F91</f>
        <v>161</v>
      </c>
      <c r="G97" s="20">
        <f t="shared" si="243"/>
        <v>20</v>
      </c>
      <c r="I97" s="9">
        <f t="shared" si="244"/>
        <v>43.634464924701625</v>
      </c>
      <c r="J97" s="9">
        <f t="shared" si="245"/>
        <v>107.48395282316508</v>
      </c>
      <c r="K97" s="9">
        <f t="shared" si="246"/>
        <v>63.849487898463458</v>
      </c>
      <c r="M97" s="9">
        <f t="shared" si="247"/>
        <v>-0.51250766549303961</v>
      </c>
      <c r="N97" s="69">
        <f t="shared" si="248"/>
        <v>-0.12727776797817114</v>
      </c>
      <c r="O97" s="9">
        <f t="shared" si="249"/>
        <v>-0.63978543347121786</v>
      </c>
      <c r="P97" s="11">
        <f t="shared" si="250"/>
        <v>62.44997998398398</v>
      </c>
      <c r="Q97" s="62">
        <f t="shared" si="263"/>
        <v>-0.20048199404033085</v>
      </c>
      <c r="R97" s="3">
        <f t="shared" si="251"/>
        <v>81.236363470274313</v>
      </c>
      <c r="S97" s="3">
        <f t="shared" si="252"/>
        <v>40.613871457291296</v>
      </c>
      <c r="T97" s="79">
        <f t="shared" si="264"/>
        <v>0</v>
      </c>
      <c r="V97" s="61">
        <f t="shared" si="265"/>
        <v>197.91499999999999</v>
      </c>
      <c r="W97" s="61">
        <f t="shared" si="266"/>
        <v>286.41499999999996</v>
      </c>
      <c r="AG97" s="128">
        <f t="shared" si="267"/>
        <v>161</v>
      </c>
      <c r="AH97" s="128">
        <f t="shared" si="268"/>
        <v>-0.51250766549303961</v>
      </c>
      <c r="AI97" s="128">
        <f t="shared" si="269"/>
        <v>-0.12727776797817114</v>
      </c>
      <c r="AJ97" s="128">
        <f t="shared" si="253"/>
        <v>-0.63978543347121786</v>
      </c>
      <c r="AK97" s="128">
        <f t="shared" si="254"/>
        <v>-0.20048199404033085</v>
      </c>
      <c r="AL97" s="130"/>
      <c r="AM97" s="134">
        <f t="shared" si="255"/>
        <v>6.2500000000000888E-3</v>
      </c>
      <c r="AN97" s="135">
        <f t="shared" si="256"/>
        <v>-7.9628927133522653E-3</v>
      </c>
      <c r="AO97" s="135">
        <f t="shared" si="257"/>
        <v>-2.9084254910045626E-3</v>
      </c>
      <c r="AP97" s="135">
        <f t="shared" si="258"/>
        <v>-5.9171597633135287E-3</v>
      </c>
      <c r="AQ97" s="134">
        <f t="shared" si="259"/>
        <v>-3.3413665673388548E-3</v>
      </c>
    </row>
    <row r="98" spans="1:45" s="15" customFormat="1">
      <c r="B98" s="147">
        <v>168.3</v>
      </c>
      <c r="C98" s="37">
        <f>100*(0.297865*B98/100+1.08387)</f>
        <v>158.51767949999999</v>
      </c>
      <c r="D98" s="147">
        <v>30</v>
      </c>
      <c r="E98" s="147">
        <v>88</v>
      </c>
      <c r="F98" s="147">
        <v>160</v>
      </c>
      <c r="G98" s="38">
        <f>(E98+2)*2 -F98</f>
        <v>20</v>
      </c>
      <c r="I98" s="44">
        <f t="shared" si="244"/>
        <v>43.761742692679796</v>
      </c>
      <c r="J98" s="44">
        <f t="shared" si="245"/>
        <v>108.1237382566363</v>
      </c>
      <c r="K98" s="44">
        <f>J98-I98</f>
        <v>64.361995563956498</v>
      </c>
      <c r="M98" s="44">
        <f t="shared" si="247"/>
        <v>0</v>
      </c>
      <c r="N98" s="70">
        <f t="shared" si="248"/>
        <v>0</v>
      </c>
      <c r="O98" s="44">
        <f t="shared" si="249"/>
        <v>0</v>
      </c>
      <c r="P98" s="41">
        <f t="shared" si="250"/>
        <v>62.249497989943649</v>
      </c>
      <c r="Q98" s="41">
        <f t="shared" si="263"/>
        <v>0</v>
      </c>
      <c r="R98" s="39">
        <f t="shared" si="251"/>
        <v>81.139115201580609</v>
      </c>
      <c r="S98" s="39">
        <f t="shared" si="252"/>
        <v>41.058454264055833</v>
      </c>
      <c r="T98" s="160">
        <f t="shared" si="264"/>
        <v>0</v>
      </c>
      <c r="V98" s="39">
        <f t="shared" si="265"/>
        <v>196.88</v>
      </c>
      <c r="W98" s="39">
        <f t="shared" si="266"/>
        <v>284.88</v>
      </c>
      <c r="AG98" s="148">
        <f t="shared" si="267"/>
        <v>160</v>
      </c>
      <c r="AH98" s="148">
        <f t="shared" si="268"/>
        <v>0</v>
      </c>
      <c r="AI98" s="148">
        <f t="shared" si="269"/>
        <v>0</v>
      </c>
      <c r="AJ98" s="148">
        <f t="shared" si="253"/>
        <v>0</v>
      </c>
      <c r="AK98" s="148">
        <f t="shared" si="254"/>
        <v>0</v>
      </c>
      <c r="AL98" s="161"/>
      <c r="AM98" s="150">
        <f>AG98/AG$98-1</f>
        <v>0</v>
      </c>
      <c r="AN98" s="151">
        <f>K98/K$98-1</f>
        <v>0</v>
      </c>
      <c r="AO98" s="151">
        <f>I98/I$98-1</f>
        <v>0</v>
      </c>
      <c r="AP98" s="151">
        <f>J98/J$98-1</f>
        <v>0</v>
      </c>
      <c r="AQ98" s="150">
        <f>(Q98+60)/(Q$98+60) -1</f>
        <v>0</v>
      </c>
    </row>
    <row r="99" spans="1:45">
      <c r="B99" s="140">
        <f t="shared" ref="B99" si="278">B98-B91</f>
        <v>168.3</v>
      </c>
      <c r="C99" s="18">
        <f>100*(0.297865*B99/100+1.08387)</f>
        <v>158.51767949999999</v>
      </c>
      <c r="D99" s="140">
        <f t="shared" ref="D99:E99" si="279">D98-D91</f>
        <v>30</v>
      </c>
      <c r="E99" s="63">
        <f t="shared" si="279"/>
        <v>87.5</v>
      </c>
      <c r="F99" s="63">
        <f>F98-F91</f>
        <v>159</v>
      </c>
      <c r="G99" s="20">
        <f t="shared" ref="G99:G103" si="280">(E99+2)*2 -F99</f>
        <v>20</v>
      </c>
      <c r="I99" s="9">
        <f t="shared" si="244"/>
        <v>43.890143065950454</v>
      </c>
      <c r="J99" s="9">
        <f t="shared" si="245"/>
        <v>108.77118579110717</v>
      </c>
      <c r="K99" s="9">
        <f t="shared" ref="K99:K103" si="281">J99-I99</f>
        <v>64.881042725156718</v>
      </c>
      <c r="M99" s="9">
        <f t="shared" si="247"/>
        <v>0.51904716120021988</v>
      </c>
      <c r="N99" s="69">
        <f t="shared" si="248"/>
        <v>0.12840037327065801</v>
      </c>
      <c r="O99" s="9">
        <f t="shared" si="249"/>
        <v>0.64744753447087078</v>
      </c>
      <c r="P99" s="11">
        <f t="shared" si="250"/>
        <v>62.048368229954285</v>
      </c>
      <c r="Q99" s="62">
        <f t="shared" si="263"/>
        <v>0.20112975998936378</v>
      </c>
      <c r="R99" s="3">
        <f t="shared" si="251"/>
        <v>81.035841434276534</v>
      </c>
      <c r="S99" s="3">
        <f t="shared" si="252"/>
        <v>41.507337510529865</v>
      </c>
      <c r="T99" s="79">
        <f t="shared" si="264"/>
        <v>0</v>
      </c>
      <c r="V99" s="61">
        <f t="shared" si="265"/>
        <v>195.845</v>
      </c>
      <c r="W99" s="61">
        <f t="shared" si="266"/>
        <v>283.34500000000003</v>
      </c>
      <c r="AG99" s="128">
        <f t="shared" si="267"/>
        <v>159</v>
      </c>
      <c r="AH99" s="128">
        <f t="shared" si="268"/>
        <v>0.51904716120021988</v>
      </c>
      <c r="AI99" s="128">
        <f t="shared" si="269"/>
        <v>0.12840037327065801</v>
      </c>
      <c r="AJ99" s="128">
        <f t="shared" si="253"/>
        <v>0.64744753447087078</v>
      </c>
      <c r="AK99" s="128">
        <f t="shared" si="254"/>
        <v>0.20112975998936378</v>
      </c>
      <c r="AL99" s="130"/>
      <c r="AM99" s="134">
        <f t="shared" ref="AM99:AM103" si="282">AG99/AG$98-1</f>
        <v>-6.2499999999999778E-3</v>
      </c>
      <c r="AN99" s="135">
        <f t="shared" ref="AN99:AN103" si="283">K99/K$98-1</f>
        <v>8.0644976379646849E-3</v>
      </c>
      <c r="AO99" s="135">
        <f t="shared" ref="AO99:AO103" si="284">I99/I$98-1</f>
        <v>2.9340781552589235E-3</v>
      </c>
      <c r="AP99" s="135">
        <f t="shared" ref="AP99:AP103" si="285">J99/J$98-1</f>
        <v>5.9880239520957446E-3</v>
      </c>
      <c r="AQ99" s="134">
        <f t="shared" ref="AQ99:AQ103" si="286">(Q99+60)/(Q$98+60) -1</f>
        <v>3.3521626664894111E-3</v>
      </c>
    </row>
    <row r="100" spans="1:45">
      <c r="B100" s="140">
        <f t="shared" ref="B100" si="287">B98-2*B91</f>
        <v>168.3</v>
      </c>
      <c r="C100" s="18">
        <f t="shared" ref="C100:C103" si="288">100*(0.297865*B100/100+1.08387)</f>
        <v>158.51767949999999</v>
      </c>
      <c r="D100" s="140">
        <f t="shared" ref="D100" si="289">D98-2*D91</f>
        <v>30</v>
      </c>
      <c r="E100" s="63">
        <f t="shared" ref="E100" si="290">E98-2*E91</f>
        <v>87</v>
      </c>
      <c r="F100" s="63">
        <f>F98-2*F91</f>
        <v>158</v>
      </c>
      <c r="G100" s="20">
        <f t="shared" si="280"/>
        <v>20</v>
      </c>
      <c r="I100" s="9">
        <f t="shared" si="244"/>
        <v>44.019682679971879</v>
      </c>
      <c r="J100" s="9">
        <f t="shared" si="245"/>
        <v>109.42643389828251</v>
      </c>
      <c r="K100" s="9">
        <f t="shared" si="281"/>
        <v>65.406751218310632</v>
      </c>
      <c r="M100" s="9">
        <f t="shared" si="247"/>
        <v>1.0447556543541339</v>
      </c>
      <c r="N100" s="69">
        <f t="shared" si="248"/>
        <v>0.25793998729208312</v>
      </c>
      <c r="O100" s="9">
        <f t="shared" si="249"/>
        <v>1.3026956416462099</v>
      </c>
      <c r="P100" s="11">
        <f t="shared" si="250"/>
        <v>61.846584384264908</v>
      </c>
      <c r="Q100" s="62">
        <f t="shared" si="263"/>
        <v>0.40291360567874079</v>
      </c>
      <c r="R100" s="3">
        <f t="shared" si="251"/>
        <v>80.926378662570514</v>
      </c>
      <c r="S100" s="3">
        <f t="shared" si="252"/>
        <v>41.96054486682813</v>
      </c>
      <c r="T100" s="79">
        <f t="shared" si="264"/>
        <v>0</v>
      </c>
      <c r="V100" s="61">
        <f t="shared" si="265"/>
        <v>194.80999999999997</v>
      </c>
      <c r="W100" s="61">
        <f t="shared" si="266"/>
        <v>281.80999999999995</v>
      </c>
      <c r="AG100" s="128">
        <f t="shared" si="267"/>
        <v>158</v>
      </c>
      <c r="AH100" s="128">
        <f t="shared" si="268"/>
        <v>1.0447556543541339</v>
      </c>
      <c r="AI100" s="128">
        <f t="shared" si="269"/>
        <v>0.25793998729208312</v>
      </c>
      <c r="AJ100" s="128">
        <f t="shared" si="253"/>
        <v>1.3026956416462099</v>
      </c>
      <c r="AK100" s="128">
        <f t="shared" si="254"/>
        <v>0.40291360567874079</v>
      </c>
      <c r="AL100" s="130"/>
      <c r="AM100" s="134">
        <f t="shared" si="282"/>
        <v>-1.2499999999999956E-2</v>
      </c>
      <c r="AN100" s="135">
        <f t="shared" si="283"/>
        <v>1.6232493184832331E-2</v>
      </c>
      <c r="AO100" s="135">
        <f t="shared" si="284"/>
        <v>5.894189111788517E-3</v>
      </c>
      <c r="AP100" s="135">
        <f t="shared" si="285"/>
        <v>1.2048192771084265E-2</v>
      </c>
      <c r="AQ100" s="134">
        <f t="shared" si="286"/>
        <v>6.7152267613124206E-3</v>
      </c>
    </row>
    <row r="101" spans="1:45">
      <c r="B101" s="140">
        <f t="shared" ref="B101" si="291">B98-3*B91</f>
        <v>168.3</v>
      </c>
      <c r="C101" s="18">
        <f t="shared" si="288"/>
        <v>158.51767949999999</v>
      </c>
      <c r="D101" s="140">
        <f t="shared" ref="D101" si="292">D98-3*D91</f>
        <v>30</v>
      </c>
      <c r="E101" s="63">
        <f t="shared" ref="E101" si="293">E98-3*E91</f>
        <v>86.5</v>
      </c>
      <c r="F101" s="63">
        <f>F98-3*F91</f>
        <v>157</v>
      </c>
      <c r="G101" s="20">
        <f t="shared" si="280"/>
        <v>20</v>
      </c>
      <c r="I101" s="9">
        <f t="shared" si="244"/>
        <v>44.150378518145523</v>
      </c>
      <c r="J101" s="9">
        <f t="shared" si="245"/>
        <v>110.08962440675695</v>
      </c>
      <c r="K101" s="9">
        <f t="shared" si="281"/>
        <v>65.939245888611424</v>
      </c>
      <c r="M101" s="9">
        <f t="shared" si="247"/>
        <v>1.5772503246549263</v>
      </c>
      <c r="N101" s="69">
        <f t="shared" si="248"/>
        <v>0.38863582546572673</v>
      </c>
      <c r="O101" s="9">
        <f t="shared" si="249"/>
        <v>1.965886150120653</v>
      </c>
      <c r="P101" s="11">
        <f t="shared" si="250"/>
        <v>61.644140029689758</v>
      </c>
      <c r="Q101" s="62">
        <f t="shared" si="263"/>
        <v>0.60535796025389033</v>
      </c>
      <c r="R101" s="3">
        <f t="shared" si="251"/>
        <v>80.810558659769271</v>
      </c>
      <c r="S101" s="3">
        <f t="shared" si="252"/>
        <v>42.418098593671786</v>
      </c>
      <c r="T101" s="79">
        <f t="shared" si="264"/>
        <v>0</v>
      </c>
      <c r="V101" s="61">
        <f t="shared" si="265"/>
        <v>193.77499999999998</v>
      </c>
      <c r="W101" s="61">
        <f t="shared" si="266"/>
        <v>280.27499999999998</v>
      </c>
      <c r="AG101" s="128">
        <f t="shared" si="267"/>
        <v>157</v>
      </c>
      <c r="AH101" s="128">
        <f t="shared" si="268"/>
        <v>1.5772503246549263</v>
      </c>
      <c r="AI101" s="128">
        <f t="shared" si="269"/>
        <v>0.38863582546572673</v>
      </c>
      <c r="AJ101" s="128">
        <f t="shared" si="253"/>
        <v>1.965886150120653</v>
      </c>
      <c r="AK101" s="128">
        <f t="shared" si="254"/>
        <v>0.60535796025389033</v>
      </c>
      <c r="AL101" s="130"/>
      <c r="AM101" s="134">
        <f t="shared" si="282"/>
        <v>-1.8750000000000044E-2</v>
      </c>
      <c r="AN101" s="135">
        <f t="shared" si="283"/>
        <v>2.4505926375256948E-2</v>
      </c>
      <c r="AO101" s="135">
        <f t="shared" si="284"/>
        <v>8.8807209574570667E-3</v>
      </c>
      <c r="AP101" s="135">
        <f t="shared" si="285"/>
        <v>1.8181818181818077E-2</v>
      </c>
      <c r="AQ101" s="134">
        <f t="shared" si="286"/>
        <v>1.008929933756475E-2</v>
      </c>
    </row>
    <row r="102" spans="1:45" s="168" customFormat="1">
      <c r="B102" s="171">
        <f t="shared" ref="B102" si="294">B98-4*B91</f>
        <v>168.3</v>
      </c>
      <c r="C102" s="170">
        <f t="shared" si="288"/>
        <v>158.51767949999999</v>
      </c>
      <c r="D102" s="171">
        <f t="shared" ref="D102" si="295">D98-4*D91</f>
        <v>30</v>
      </c>
      <c r="E102" s="146">
        <f t="shared" ref="E102" si="296">E98-4*E91</f>
        <v>86</v>
      </c>
      <c r="F102" s="146">
        <f>F98-4*F91</f>
        <v>156</v>
      </c>
      <c r="G102" s="169">
        <f t="shared" si="280"/>
        <v>20</v>
      </c>
      <c r="I102" s="84">
        <f t="shared" si="244"/>
        <v>44.282247921250431</v>
      </c>
      <c r="J102" s="84">
        <f t="shared" si="245"/>
        <v>110.76090260435913</v>
      </c>
      <c r="K102" s="84">
        <f t="shared" si="281"/>
        <v>66.478654683108701</v>
      </c>
      <c r="M102" s="84">
        <f t="shared" si="247"/>
        <v>2.1166591191522031</v>
      </c>
      <c r="N102" s="121">
        <f t="shared" si="248"/>
        <v>0.52050522857063442</v>
      </c>
      <c r="O102" s="84">
        <f t="shared" si="249"/>
        <v>2.6371643477228304</v>
      </c>
      <c r="P102" s="83">
        <f t="shared" si="250"/>
        <v>61.441028637222509</v>
      </c>
      <c r="Q102" s="83">
        <f t="shared" si="263"/>
        <v>0.80846935272113996</v>
      </c>
      <c r="R102" s="49">
        <f t="shared" si="251"/>
        <v>80.688208335196549</v>
      </c>
      <c r="S102" s="49">
        <f t="shared" si="252"/>
        <v>42.880019424038437</v>
      </c>
      <c r="T102" s="177">
        <f t="shared" si="264"/>
        <v>0</v>
      </c>
      <c r="V102" s="49">
        <f t="shared" si="265"/>
        <v>192.73999999999998</v>
      </c>
      <c r="W102" s="49">
        <f t="shared" si="266"/>
        <v>278.74</v>
      </c>
      <c r="AG102" s="174">
        <f t="shared" si="267"/>
        <v>156</v>
      </c>
      <c r="AH102" s="174">
        <f t="shared" si="268"/>
        <v>2.1166591191522031</v>
      </c>
      <c r="AI102" s="174">
        <f t="shared" si="269"/>
        <v>0.52050522857063442</v>
      </c>
      <c r="AJ102" s="174">
        <f t="shared" si="253"/>
        <v>2.6371643477228304</v>
      </c>
      <c r="AK102" s="174">
        <f t="shared" si="254"/>
        <v>0.80846935272113996</v>
      </c>
      <c r="AL102" s="178"/>
      <c r="AM102" s="175">
        <f t="shared" si="282"/>
        <v>-2.5000000000000022E-2</v>
      </c>
      <c r="AN102" s="176">
        <f t="shared" si="283"/>
        <v>3.2886785137805186E-2</v>
      </c>
      <c r="AO102" s="176">
        <f t="shared" si="284"/>
        <v>1.1894069946572383E-2</v>
      </c>
      <c r="AP102" s="176">
        <f t="shared" si="285"/>
        <v>2.4390243902439046E-2</v>
      </c>
      <c r="AQ102" s="175">
        <f t="shared" si="286"/>
        <v>1.3474489212019103E-2</v>
      </c>
    </row>
    <row r="103" spans="1:45">
      <c r="B103" s="140">
        <f t="shared" ref="B103" si="297">B98-5*B91</f>
        <v>168.3</v>
      </c>
      <c r="C103" s="18">
        <f t="shared" si="288"/>
        <v>158.51767949999999</v>
      </c>
      <c r="D103" s="140">
        <f t="shared" ref="D103:E103" si="298">D98-5*D91</f>
        <v>30</v>
      </c>
      <c r="E103" s="63">
        <f t="shared" si="298"/>
        <v>85.5</v>
      </c>
      <c r="F103" s="63">
        <f>F98-5*F91</f>
        <v>155</v>
      </c>
      <c r="G103" s="20">
        <f t="shared" si="280"/>
        <v>20</v>
      </c>
      <c r="I103" s="9">
        <f t="shared" si="244"/>
        <v>44.415308597192968</v>
      </c>
      <c r="J103" s="9">
        <f t="shared" si="245"/>
        <v>111.44041734426317</v>
      </c>
      <c r="K103" s="9">
        <f t="shared" si="281"/>
        <v>67.025108747070192</v>
      </c>
      <c r="M103" s="9">
        <f t="shared" si="247"/>
        <v>2.663113183113694</v>
      </c>
      <c r="N103" s="69">
        <f t="shared" si="248"/>
        <v>0.65356590451317231</v>
      </c>
      <c r="O103" s="9">
        <f t="shared" si="249"/>
        <v>3.3166790876268664</v>
      </c>
      <c r="P103" s="11">
        <f t="shared" si="250"/>
        <v>61.237243569579434</v>
      </c>
      <c r="Q103" s="62">
        <f t="shared" si="263"/>
        <v>1.012254420364215</v>
      </c>
      <c r="R103" s="3">
        <f t="shared" si="251"/>
        <v>80.559149586997634</v>
      </c>
      <c r="S103" s="3">
        <f t="shared" si="252"/>
        <v>43.346326437413232</v>
      </c>
      <c r="T103" s="79">
        <f t="shared" si="264"/>
        <v>0</v>
      </c>
      <c r="V103" s="61">
        <f t="shared" si="265"/>
        <v>191.70499999999998</v>
      </c>
      <c r="W103" s="61">
        <f t="shared" si="266"/>
        <v>277.20499999999998</v>
      </c>
      <c r="AG103" s="128">
        <f t="shared" si="267"/>
        <v>155</v>
      </c>
      <c r="AH103" s="128">
        <f t="shared" si="268"/>
        <v>2.663113183113694</v>
      </c>
      <c r="AI103" s="128">
        <f t="shared" si="269"/>
        <v>0.65356590451317231</v>
      </c>
      <c r="AJ103" s="128">
        <f t="shared" si="253"/>
        <v>3.3166790876268664</v>
      </c>
      <c r="AK103" s="128">
        <f t="shared" ref="AK103" si="299">Q103</f>
        <v>1.012254420364215</v>
      </c>
      <c r="AL103" s="130"/>
      <c r="AM103" s="134">
        <f t="shared" si="282"/>
        <v>-3.125E-2</v>
      </c>
      <c r="AN103" s="135">
        <f t="shared" si="283"/>
        <v>4.1377107092140486E-2</v>
      </c>
      <c r="AO103" s="135">
        <f t="shared" si="284"/>
        <v>1.4934640722671588E-2</v>
      </c>
      <c r="AP103" s="135">
        <f t="shared" si="285"/>
        <v>3.0674846625766694E-2</v>
      </c>
      <c r="AQ103" s="134">
        <f t="shared" si="286"/>
        <v>1.687090700607019E-2</v>
      </c>
    </row>
    <row r="104" spans="1:45" s="12" customFormat="1">
      <c r="B104" s="5"/>
      <c r="C104" s="19" t="s">
        <v>24</v>
      </c>
      <c r="D104" s="102"/>
      <c r="E104" s="5"/>
      <c r="F104" s="5"/>
      <c r="G104" s="5"/>
      <c r="H104" s="13"/>
      <c r="I104" s="13"/>
      <c r="J104" s="13"/>
      <c r="M104" s="13"/>
      <c r="N104" s="13"/>
      <c r="O104" s="13"/>
      <c r="P104" s="13"/>
      <c r="Q104" s="13"/>
      <c r="R104" s="13"/>
      <c r="S104" s="13"/>
      <c r="T104" s="102"/>
      <c r="AG104" s="127"/>
      <c r="AH104" s="126"/>
      <c r="AI104" s="126"/>
      <c r="AJ104" s="126"/>
      <c r="AK104" s="127"/>
      <c r="AL104" s="59"/>
    </row>
    <row r="105" spans="1:45" ht="18.75">
      <c r="A105" s="15" t="s">
        <v>46</v>
      </c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AG105" s="127"/>
      <c r="AH105" s="126"/>
      <c r="AI105" s="126"/>
      <c r="AJ105" s="126"/>
      <c r="AK105" s="127"/>
      <c r="AL105" s="59"/>
      <c r="AM105" s="59"/>
      <c r="AN105" s="59"/>
      <c r="AO105" s="59"/>
      <c r="AP105" s="59"/>
      <c r="AQ105" s="59"/>
    </row>
    <row r="106" spans="1:45" ht="30" customHeight="1">
      <c r="A106" s="20"/>
      <c r="B106" s="20"/>
      <c r="C106" s="20"/>
      <c r="D106" s="20"/>
      <c r="E106" s="20"/>
      <c r="F106" s="20"/>
      <c r="M106" s="236" t="s">
        <v>14</v>
      </c>
      <c r="N106" s="237"/>
      <c r="V106" s="5"/>
      <c r="AG106" s="28"/>
      <c r="AH106" s="65"/>
      <c r="AI106" s="65"/>
      <c r="AJ106" s="65"/>
      <c r="AL106" s="35"/>
      <c r="AM106" s="59"/>
      <c r="AN106" s="59"/>
      <c r="AO106" s="59"/>
      <c r="AP106" s="59"/>
      <c r="AQ106" s="59"/>
    </row>
    <row r="107" spans="1:45" s="27" customFormat="1" ht="137.25">
      <c r="B107" s="28" t="s">
        <v>12</v>
      </c>
      <c r="C107" s="28" t="s">
        <v>8</v>
      </c>
      <c r="D107" s="29" t="s">
        <v>42</v>
      </c>
      <c r="E107" s="28" t="s">
        <v>3</v>
      </c>
      <c r="F107" s="28" t="s">
        <v>4</v>
      </c>
      <c r="G107" s="28" t="s">
        <v>41</v>
      </c>
      <c r="H107" s="28" t="s">
        <v>1</v>
      </c>
      <c r="I107" s="55" t="s">
        <v>80</v>
      </c>
      <c r="J107" s="28" t="s">
        <v>6</v>
      </c>
      <c r="K107" s="28" t="s">
        <v>5</v>
      </c>
      <c r="L107" s="31" t="s">
        <v>49</v>
      </c>
      <c r="M107" s="31" t="s">
        <v>112</v>
      </c>
      <c r="N107" s="28" t="s">
        <v>18</v>
      </c>
      <c r="O107" s="28" t="s">
        <v>19</v>
      </c>
      <c r="P107" s="32" t="s">
        <v>25</v>
      </c>
      <c r="Q107" s="28" t="s">
        <v>27</v>
      </c>
      <c r="R107" s="33" t="s">
        <v>26</v>
      </c>
      <c r="S107" s="28" t="s">
        <v>28</v>
      </c>
      <c r="T107" s="28" t="s">
        <v>33</v>
      </c>
      <c r="U107" s="28" t="s">
        <v>34</v>
      </c>
      <c r="V107" s="28" t="s">
        <v>30</v>
      </c>
      <c r="W107" s="28" t="s">
        <v>43</v>
      </c>
      <c r="X107" s="29" t="s">
        <v>29</v>
      </c>
      <c r="Y107" s="28" t="s">
        <v>32</v>
      </c>
      <c r="Z107" s="30" t="s">
        <v>31</v>
      </c>
      <c r="AA107" s="30" t="s">
        <v>35</v>
      </c>
      <c r="AB107" s="28" t="s">
        <v>36</v>
      </c>
      <c r="AC107" s="30" t="s">
        <v>37</v>
      </c>
      <c r="AD107" s="30" t="s">
        <v>48</v>
      </c>
      <c r="AE107" s="34" t="s">
        <v>38</v>
      </c>
      <c r="AG107" s="128" t="str">
        <f t="shared" ref="AG107:AG118" si="300">F107</f>
        <v>span (cm)</v>
      </c>
      <c r="AH107" s="28" t="s">
        <v>113</v>
      </c>
      <c r="AI107" s="28" t="s">
        <v>114</v>
      </c>
      <c r="AJ107" s="28" t="s">
        <v>115</v>
      </c>
      <c r="AK107" s="129" t="str">
        <f>Q92</f>
        <v>distance to move stretcher to stern (cm)</v>
      </c>
      <c r="AL107" s="124"/>
      <c r="AM107" s="28" t="str">
        <f>AG107</f>
        <v>span (cm)</v>
      </c>
      <c r="AN107" s="28" t="str">
        <f t="shared" ref="AN107" si="301">AH107</f>
        <v>Change in catch angle (deg)</v>
      </c>
      <c r="AO107" s="28" t="str">
        <f t="shared" ref="AO107" si="302">AI107</f>
        <v>Change in finish angle (deg)</v>
      </c>
      <c r="AP107" s="28" t="str">
        <f t="shared" ref="AP107" si="303">AJ107</f>
        <v>Change in sweep angle (deg)</v>
      </c>
      <c r="AQ107" s="28" t="str">
        <f t="shared" ref="AQ107" si="304">AK107</f>
        <v>distance to move stretcher to stern (cm)</v>
      </c>
      <c r="AS107" s="136" t="s">
        <v>170</v>
      </c>
    </row>
    <row r="108" spans="1:45">
      <c r="B108" s="20">
        <f>B93</f>
        <v>168.3</v>
      </c>
      <c r="C108" s="18">
        <f t="shared" ref="C108:C112" si="305">100*(0.297865*B108/100+1.08387)</f>
        <v>158.51767949999999</v>
      </c>
      <c r="D108" s="140">
        <f>D93</f>
        <v>30</v>
      </c>
      <c r="E108" s="63">
        <f t="shared" ref="E108:F108" si="306">E93</f>
        <v>90.5</v>
      </c>
      <c r="F108" s="63">
        <f t="shared" si="306"/>
        <v>165</v>
      </c>
      <c r="G108" s="20">
        <f t="shared" ref="G108:G112" si="307">(E108+2)*2 -F108</f>
        <v>20</v>
      </c>
      <c r="H108" s="3">
        <f>DEGREES(ACOS((F108-D108)/2/(E108+2)))</f>
        <v>43.136258871295773</v>
      </c>
      <c r="I108" s="51">
        <f>H108-H$113</f>
        <v>-0.62548382138402303</v>
      </c>
      <c r="J108" s="3"/>
      <c r="K108" s="21"/>
      <c r="L108" s="11">
        <f t="shared" ref="L108:L113" si="308">((F108-D108)/2)*TAN(RADIANS(H108))</f>
        <v>63.245553203367592</v>
      </c>
      <c r="M108" s="11">
        <f>L108-L$113</f>
        <v>0.99605521342394354</v>
      </c>
      <c r="N108" s="21"/>
      <c r="O108" s="21"/>
      <c r="P108" s="23">
        <f>P$113</f>
        <v>1</v>
      </c>
      <c r="Q108" s="20">
        <f t="shared" ref="Q108:Q118" si="309">B108 *P108</f>
        <v>168.3</v>
      </c>
      <c r="R108" s="23">
        <f>R$113</f>
        <v>0.3</v>
      </c>
      <c r="S108" s="3">
        <f>Q108*R108</f>
        <v>50.49</v>
      </c>
      <c r="T108" s="3">
        <f>S108/2</f>
        <v>25.245000000000001</v>
      </c>
      <c r="U108" s="3">
        <f t="shared" ref="U108:U112" si="310">F108/2 -S108/2</f>
        <v>57.254999999999995</v>
      </c>
      <c r="V108" s="3"/>
      <c r="W108" s="3">
        <f t="shared" ref="W108:W112" si="311">COS(RADIANS(17))*((Q108-S108)/2 -8)</f>
        <v>48.680693602298319</v>
      </c>
      <c r="X108" s="21">
        <f t="shared" ref="X108:X111" si="312">X$113 -M108</f>
        <v>34.102375872480636</v>
      </c>
      <c r="Y108" s="3">
        <f>SQRT(X108*X108+U108*U108)</f>
        <v>66.641631621291722</v>
      </c>
      <c r="Z108" s="9">
        <f>DEGREES(ASIN(X108/Y108))</f>
        <v>30.778986647511811</v>
      </c>
      <c r="AA108" s="9">
        <f t="shared" ref="AA108:AA118" si="313">DEGREES(ACOS(((E108+2)*(E108+2)+(Y108*Y108)-(W108*W108))/(2*(E108+2)*(Y108))))</f>
        <v>30.456220128757597</v>
      </c>
      <c r="AB108" s="4">
        <f t="shared" ref="AB108:AB118" si="314">Z108+AA108</f>
        <v>61.235206776269408</v>
      </c>
      <c r="AC108" s="69">
        <f t="shared" ref="AC108:AC112" si="315">AB108-AB$113</f>
        <v>-3.1267887876870759</v>
      </c>
      <c r="AD108" s="51">
        <f>AB108+H108</f>
        <v>104.37146564756517</v>
      </c>
      <c r="AE108" s="64">
        <f t="shared" ref="AE108:AE112" si="316">H108+AB108-J$113</f>
        <v>-3.7522726090711274</v>
      </c>
      <c r="AG108" s="128">
        <f t="shared" si="300"/>
        <v>165</v>
      </c>
      <c r="AH108" s="128">
        <f t="shared" ref="AH108:AH118" si="317">AC108</f>
        <v>-3.1267887876870759</v>
      </c>
      <c r="AI108" s="128">
        <f t="shared" ref="AI108:AI118" si="318">I108</f>
        <v>-0.62548382138402303</v>
      </c>
      <c r="AJ108" s="128">
        <f t="shared" ref="AJ108:AJ118" si="319">AE108</f>
        <v>-3.7522726090711274</v>
      </c>
      <c r="AK108" s="128">
        <f>Q93</f>
        <v>-0.99605521342394354</v>
      </c>
      <c r="AL108" s="59"/>
      <c r="AM108" s="134">
        <f t="shared" ref="AM108:AM112" si="320">AG108/AG$113-1</f>
        <v>3.125E-2</v>
      </c>
      <c r="AN108" s="135">
        <f t="shared" ref="AN108:AN112" si="321">AB108/AB$113-1</f>
        <v>-4.8581290251946685E-2</v>
      </c>
      <c r="AO108" s="135">
        <f t="shared" ref="AO108:AO112" si="322">H108/H$113-1</f>
        <v>-1.4292936773028675E-2</v>
      </c>
      <c r="AP108" s="134">
        <f t="shared" ref="AP108:AP112" si="323">AD108/AD$113-1</f>
        <v>-3.470350424034474E-2</v>
      </c>
      <c r="AQ108" s="134">
        <f t="shared" ref="AQ108:AQ112" si="324">(Q108+60)/(Q$113+60) -1</f>
        <v>0</v>
      </c>
      <c r="AS108" s="61">
        <f>L108+X108</f>
        <v>97.347929075848228</v>
      </c>
    </row>
    <row r="109" spans="1:45">
      <c r="B109" s="20">
        <f t="shared" ref="B109:B118" si="325">B94</f>
        <v>168.3</v>
      </c>
      <c r="C109" s="18">
        <f t="shared" si="305"/>
        <v>158.51767949999999</v>
      </c>
      <c r="D109" s="140">
        <f t="shared" ref="D109:F109" si="326">D94</f>
        <v>30</v>
      </c>
      <c r="E109" s="63">
        <f t="shared" si="326"/>
        <v>90</v>
      </c>
      <c r="F109" s="63">
        <f t="shared" si="326"/>
        <v>164</v>
      </c>
      <c r="G109" s="20">
        <f t="shared" si="307"/>
        <v>20</v>
      </c>
      <c r="H109" s="3">
        <f>DEGREES(ACOS((F109-D109)/2/(E109+2)))</f>
        <v>43.259205927363304</v>
      </c>
      <c r="I109" s="51">
        <f t="shared" ref="I109:I118" si="327">H109-H$113</f>
        <v>-0.50253676531649205</v>
      </c>
      <c r="J109" s="3"/>
      <c r="K109" s="21"/>
      <c r="L109" s="11">
        <f t="shared" si="308"/>
        <v>63.047601064592449</v>
      </c>
      <c r="M109" s="11">
        <f t="shared" ref="M109:M118" si="328">L109-L$113</f>
        <v>0.79810307464880026</v>
      </c>
      <c r="N109" s="21"/>
      <c r="O109" s="21"/>
      <c r="P109" s="23">
        <f t="shared" ref="P109:P112" si="329">P$113</f>
        <v>1</v>
      </c>
      <c r="Q109" s="20">
        <f t="shared" si="309"/>
        <v>168.3</v>
      </c>
      <c r="R109" s="23">
        <f t="shared" ref="R109:R112" si="330">R$113</f>
        <v>0.3</v>
      </c>
      <c r="S109" s="3">
        <f t="shared" ref="S109:S112" si="331">Q109*R109</f>
        <v>50.49</v>
      </c>
      <c r="T109" s="3">
        <f t="shared" ref="T109:T112" si="332">S109/2</f>
        <v>25.245000000000001</v>
      </c>
      <c r="U109" s="3">
        <f t="shared" si="310"/>
        <v>56.754999999999995</v>
      </c>
      <c r="V109" s="3"/>
      <c r="W109" s="3">
        <f t="shared" si="311"/>
        <v>48.680693602298319</v>
      </c>
      <c r="X109" s="21">
        <f t="shared" si="312"/>
        <v>34.300328011255779</v>
      </c>
      <c r="Y109" s="3">
        <f>SQRT(X109*X109+U109*U109)</f>
        <v>66.314723302444222</v>
      </c>
      <c r="Z109" s="9">
        <f>DEGREES(ASIN(X109/Y109))</f>
        <v>31.146995257420073</v>
      </c>
      <c r="AA109" s="9">
        <f t="shared" si="313"/>
        <v>30.700061160054428</v>
      </c>
      <c r="AB109" s="4">
        <f t="shared" si="314"/>
        <v>61.847056417474505</v>
      </c>
      <c r="AC109" s="69">
        <f t="shared" si="315"/>
        <v>-2.5149391464819786</v>
      </c>
      <c r="AD109" s="51">
        <f t="shared" ref="AD109:AD118" si="333">AB109+H109</f>
        <v>105.1062623448378</v>
      </c>
      <c r="AE109" s="64">
        <f t="shared" si="316"/>
        <v>-3.0174759117984991</v>
      </c>
      <c r="AG109" s="128">
        <f t="shared" si="300"/>
        <v>164</v>
      </c>
      <c r="AH109" s="128">
        <f t="shared" si="317"/>
        <v>-2.5149391464819786</v>
      </c>
      <c r="AI109" s="128">
        <f t="shared" si="318"/>
        <v>-0.50253676531649205</v>
      </c>
      <c r="AJ109" s="128">
        <f t="shared" si="319"/>
        <v>-3.0174759117984991</v>
      </c>
      <c r="AK109" s="128">
        <f t="shared" ref="AK109:AK118" si="334">Q94</f>
        <v>-0.79810307464880026</v>
      </c>
      <c r="AL109" s="59"/>
      <c r="AM109" s="134">
        <f t="shared" si="320"/>
        <v>2.4999999999999911E-2</v>
      </c>
      <c r="AN109" s="135">
        <f t="shared" si="321"/>
        <v>-3.9074909415804049E-2</v>
      </c>
      <c r="AO109" s="135">
        <f t="shared" si="322"/>
        <v>-1.1483472421233154E-2</v>
      </c>
      <c r="AP109" s="134">
        <f t="shared" si="323"/>
        <v>-2.7907617332249113E-2</v>
      </c>
      <c r="AQ109" s="134">
        <f t="shared" si="324"/>
        <v>0</v>
      </c>
      <c r="AS109" s="61">
        <f t="shared" ref="AS109:AS118" si="335">L109+X109</f>
        <v>97.347929075848228</v>
      </c>
    </row>
    <row r="110" spans="1:45">
      <c r="B110" s="20">
        <f t="shared" si="325"/>
        <v>168.3</v>
      </c>
      <c r="C110" s="18">
        <f t="shared" si="305"/>
        <v>158.51767949999999</v>
      </c>
      <c r="D110" s="140">
        <f t="shared" ref="D110:F110" si="336">D95</f>
        <v>30</v>
      </c>
      <c r="E110" s="63">
        <f t="shared" si="336"/>
        <v>89.5</v>
      </c>
      <c r="F110" s="63">
        <f t="shared" si="336"/>
        <v>163</v>
      </c>
      <c r="G110" s="20">
        <f t="shared" si="307"/>
        <v>20</v>
      </c>
      <c r="H110" s="3">
        <f>DEGREES(ACOS((F110-D110)/2/(E110+2)))</f>
        <v>43.383212348010012</v>
      </c>
      <c r="I110" s="51">
        <f t="shared" si="327"/>
        <v>-0.37853034466978386</v>
      </c>
      <c r="J110" s="3"/>
      <c r="K110" s="21"/>
      <c r="L110" s="11">
        <f t="shared" si="308"/>
        <v>62.849025449882653</v>
      </c>
      <c r="M110" s="11">
        <f t="shared" si="328"/>
        <v>0.59952745993900436</v>
      </c>
      <c r="N110" s="21"/>
      <c r="O110" s="21"/>
      <c r="P110" s="23">
        <f t="shared" si="329"/>
        <v>1</v>
      </c>
      <c r="Q110" s="20">
        <f t="shared" si="309"/>
        <v>168.3</v>
      </c>
      <c r="R110" s="23">
        <f t="shared" si="330"/>
        <v>0.3</v>
      </c>
      <c r="S110" s="3">
        <f t="shared" si="331"/>
        <v>50.49</v>
      </c>
      <c r="T110" s="3">
        <f t="shared" si="332"/>
        <v>25.245000000000001</v>
      </c>
      <c r="U110" s="3">
        <f t="shared" si="310"/>
        <v>56.254999999999995</v>
      </c>
      <c r="V110" s="3"/>
      <c r="W110" s="3">
        <f t="shared" si="311"/>
        <v>48.680693602298319</v>
      </c>
      <c r="X110" s="21">
        <f t="shared" si="312"/>
        <v>34.498903625965575</v>
      </c>
      <c r="Y110" s="3">
        <f t="shared" ref="Y110:Y112" si="337">SQRT(X110*X110+U110*U110)</f>
        <v>65.990903739785679</v>
      </c>
      <c r="Z110" s="9">
        <f t="shared" ref="Z110:Z112" si="338">DEGREES(ASIN(X110/Y110))</f>
        <v>31.51909610313308</v>
      </c>
      <c r="AA110" s="9">
        <f t="shared" si="313"/>
        <v>30.946532875325822</v>
      </c>
      <c r="AB110" s="4">
        <f t="shared" si="314"/>
        <v>62.465628978458902</v>
      </c>
      <c r="AC110" s="69">
        <f t="shared" si="315"/>
        <v>-1.8963665854975815</v>
      </c>
      <c r="AD110" s="51">
        <f t="shared" si="333"/>
        <v>105.84884132646891</v>
      </c>
      <c r="AE110" s="64">
        <f t="shared" si="316"/>
        <v>-2.2748969301673867</v>
      </c>
      <c r="AG110" s="128">
        <f t="shared" si="300"/>
        <v>163</v>
      </c>
      <c r="AH110" s="128">
        <f t="shared" si="317"/>
        <v>-1.8963665854975815</v>
      </c>
      <c r="AI110" s="128">
        <f t="shared" si="318"/>
        <v>-0.37853034466978386</v>
      </c>
      <c r="AJ110" s="128">
        <f t="shared" si="319"/>
        <v>-2.2748969301673867</v>
      </c>
      <c r="AK110" s="128">
        <f t="shared" si="334"/>
        <v>-0.59952745993900436</v>
      </c>
      <c r="AL110" s="59"/>
      <c r="AM110" s="134">
        <f t="shared" si="320"/>
        <v>1.8750000000000044E-2</v>
      </c>
      <c r="AN110" s="135">
        <f t="shared" si="321"/>
        <v>-2.9464073773367794E-2</v>
      </c>
      <c r="AO110" s="135">
        <f t="shared" si="322"/>
        <v>-8.6498005193267335E-3</v>
      </c>
      <c r="AP110" s="134">
        <f t="shared" si="323"/>
        <v>-2.1039754700006741E-2</v>
      </c>
      <c r="AQ110" s="134">
        <f t="shared" si="324"/>
        <v>0</v>
      </c>
      <c r="AS110" s="61">
        <f t="shared" si="335"/>
        <v>97.347929075848228</v>
      </c>
    </row>
    <row r="111" spans="1:45">
      <c r="B111" s="20">
        <f t="shared" si="325"/>
        <v>168.3</v>
      </c>
      <c r="C111" s="18">
        <f t="shared" si="305"/>
        <v>158.51767949999999</v>
      </c>
      <c r="D111" s="140">
        <f t="shared" ref="D111:F111" si="339">D96</f>
        <v>30</v>
      </c>
      <c r="E111" s="63">
        <f t="shared" si="339"/>
        <v>89</v>
      </c>
      <c r="F111" s="63">
        <f t="shared" si="339"/>
        <v>162</v>
      </c>
      <c r="G111" s="20">
        <f t="shared" si="307"/>
        <v>20</v>
      </c>
      <c r="H111" s="3">
        <f>DEGREES(ACOS((F111-D111)/2/(E111+2)))</f>
        <v>43.508293465369597</v>
      </c>
      <c r="I111" s="51">
        <f t="shared" si="327"/>
        <v>-0.25344922731019892</v>
      </c>
      <c r="J111" s="3"/>
      <c r="K111" s="21"/>
      <c r="L111" s="11">
        <f t="shared" si="308"/>
        <v>62.649820430708338</v>
      </c>
      <c r="M111" s="11">
        <f t="shared" si="328"/>
        <v>0.4003224407646897</v>
      </c>
      <c r="N111" s="21"/>
      <c r="O111" s="21"/>
      <c r="P111" s="23">
        <f t="shared" si="329"/>
        <v>1</v>
      </c>
      <c r="Q111" s="20">
        <f t="shared" si="309"/>
        <v>168.3</v>
      </c>
      <c r="R111" s="23">
        <f t="shared" si="330"/>
        <v>0.3</v>
      </c>
      <c r="S111" s="3">
        <f t="shared" si="331"/>
        <v>50.49</v>
      </c>
      <c r="T111" s="3">
        <f t="shared" si="332"/>
        <v>25.245000000000001</v>
      </c>
      <c r="U111" s="3">
        <f t="shared" si="310"/>
        <v>55.754999999999995</v>
      </c>
      <c r="V111" s="3"/>
      <c r="W111" s="3">
        <f t="shared" si="311"/>
        <v>48.680693602298319</v>
      </c>
      <c r="X111" s="21">
        <f t="shared" si="312"/>
        <v>34.698108645139889</v>
      </c>
      <c r="Y111" s="3">
        <f t="shared" si="337"/>
        <v>65.670227413569464</v>
      </c>
      <c r="Z111" s="9">
        <f t="shared" si="338"/>
        <v>31.895316979708273</v>
      </c>
      <c r="AA111" s="9">
        <f t="shared" si="313"/>
        <v>31.19563996901579</v>
      </c>
      <c r="AB111" s="4">
        <f t="shared" si="314"/>
        <v>63.090956948724063</v>
      </c>
      <c r="AC111" s="69">
        <f t="shared" si="315"/>
        <v>-1.2710386152324205</v>
      </c>
      <c r="AD111" s="51">
        <f t="shared" si="333"/>
        <v>106.59925041409366</v>
      </c>
      <c r="AE111" s="64">
        <f t="shared" si="316"/>
        <v>-1.5244878425426407</v>
      </c>
      <c r="AG111" s="128">
        <f t="shared" si="300"/>
        <v>162</v>
      </c>
      <c r="AH111" s="128">
        <f t="shared" si="317"/>
        <v>-1.2710386152324205</v>
      </c>
      <c r="AI111" s="128">
        <f t="shared" si="318"/>
        <v>-0.25344922731019892</v>
      </c>
      <c r="AJ111" s="128">
        <f t="shared" si="319"/>
        <v>-1.5244878425426407</v>
      </c>
      <c r="AK111" s="128">
        <f t="shared" si="334"/>
        <v>-0.4003224407646897</v>
      </c>
      <c r="AL111" s="59"/>
      <c r="AM111" s="134">
        <f t="shared" si="320"/>
        <v>1.2499999999999956E-2</v>
      </c>
      <c r="AN111" s="135">
        <f t="shared" si="321"/>
        <v>-1.9748278531379393E-2</v>
      </c>
      <c r="AO111" s="135">
        <f t="shared" si="322"/>
        <v>-5.7915707125757443E-3</v>
      </c>
      <c r="AP111" s="134">
        <f t="shared" si="323"/>
        <v>-1.4099474057437611E-2</v>
      </c>
      <c r="AQ111" s="134">
        <f t="shared" si="324"/>
        <v>0</v>
      </c>
      <c r="AS111" s="61">
        <f t="shared" si="335"/>
        <v>97.347929075848228</v>
      </c>
    </row>
    <row r="112" spans="1:45">
      <c r="B112" s="20">
        <f t="shared" si="325"/>
        <v>168.3</v>
      </c>
      <c r="C112" s="18">
        <f t="shared" si="305"/>
        <v>158.51767949999999</v>
      </c>
      <c r="D112" s="140">
        <f t="shared" ref="D112:F112" si="340">D97</f>
        <v>30</v>
      </c>
      <c r="E112" s="63">
        <f t="shared" si="340"/>
        <v>88.5</v>
      </c>
      <c r="F112" s="63">
        <f t="shared" si="340"/>
        <v>161</v>
      </c>
      <c r="G112" s="20">
        <f t="shared" si="307"/>
        <v>20</v>
      </c>
      <c r="H112" s="3">
        <f t="shared" ref="H112" si="341">DEGREES(ACOS((F112-D112)/2/(E112+2)))</f>
        <v>43.634464924701625</v>
      </c>
      <c r="I112" s="51">
        <f t="shared" si="327"/>
        <v>-0.12727776797817114</v>
      </c>
      <c r="J112" s="3"/>
      <c r="K112" s="21"/>
      <c r="L112" s="11">
        <f t="shared" si="308"/>
        <v>62.44997998398398</v>
      </c>
      <c r="M112" s="11">
        <f t="shared" si="328"/>
        <v>0.20048199404033085</v>
      </c>
      <c r="N112" s="21"/>
      <c r="O112" s="21"/>
      <c r="P112" s="23">
        <f t="shared" si="329"/>
        <v>1</v>
      </c>
      <c r="Q112" s="20">
        <f t="shared" si="309"/>
        <v>168.3</v>
      </c>
      <c r="R112" s="23">
        <f t="shared" si="330"/>
        <v>0.3</v>
      </c>
      <c r="S112" s="3">
        <f t="shared" si="331"/>
        <v>50.49</v>
      </c>
      <c r="T112" s="3">
        <f t="shared" si="332"/>
        <v>25.245000000000001</v>
      </c>
      <c r="U112" s="3">
        <f t="shared" si="310"/>
        <v>55.254999999999995</v>
      </c>
      <c r="V112" s="3"/>
      <c r="W112" s="3">
        <f t="shared" si="311"/>
        <v>48.680693602298319</v>
      </c>
      <c r="X112" s="21">
        <f>X$113 -M112</f>
        <v>34.897949091864248</v>
      </c>
      <c r="Y112" s="3">
        <f t="shared" si="337"/>
        <v>65.352749565862553</v>
      </c>
      <c r="Z112" s="9">
        <f t="shared" si="338"/>
        <v>32.275684605420906</v>
      </c>
      <c r="AA112" s="9">
        <f t="shared" si="313"/>
        <v>31.447385542345863</v>
      </c>
      <c r="AB112" s="4">
        <f t="shared" si="314"/>
        <v>63.723070147766769</v>
      </c>
      <c r="AC112" s="69">
        <f t="shared" si="315"/>
        <v>-0.63892541618971421</v>
      </c>
      <c r="AD112" s="51">
        <f t="shared" si="333"/>
        <v>107.35753507246839</v>
      </c>
      <c r="AE112" s="64">
        <f t="shared" si="316"/>
        <v>-0.76620318416790667</v>
      </c>
      <c r="AG112" s="128">
        <f t="shared" si="300"/>
        <v>161</v>
      </c>
      <c r="AH112" s="128">
        <f t="shared" si="317"/>
        <v>-0.63892541618971421</v>
      </c>
      <c r="AI112" s="128">
        <f t="shared" si="318"/>
        <v>-0.12727776797817114</v>
      </c>
      <c r="AJ112" s="128">
        <f t="shared" si="319"/>
        <v>-0.76620318416790667</v>
      </c>
      <c r="AK112" s="128">
        <f t="shared" si="334"/>
        <v>-0.20048199404033085</v>
      </c>
      <c r="AL112" s="15"/>
      <c r="AM112" s="134">
        <f t="shared" si="320"/>
        <v>6.2500000000000888E-3</v>
      </c>
      <c r="AN112" s="135">
        <f t="shared" si="321"/>
        <v>-9.927060380761743E-3</v>
      </c>
      <c r="AO112" s="135">
        <f t="shared" si="322"/>
        <v>-2.9084254910045626E-3</v>
      </c>
      <c r="AP112" s="134">
        <f t="shared" si="323"/>
        <v>-7.0863549163391326E-3</v>
      </c>
      <c r="AQ112" s="134">
        <f t="shared" si="324"/>
        <v>0</v>
      </c>
      <c r="AS112" s="61">
        <f t="shared" si="335"/>
        <v>97.347929075848228</v>
      </c>
    </row>
    <row r="113" spans="1:45" s="15" customFormat="1">
      <c r="B113" s="38">
        <f t="shared" si="325"/>
        <v>168.3</v>
      </c>
      <c r="C113" s="37">
        <f>100*(0.297865*B113/100+1.08387)</f>
        <v>158.51767949999999</v>
      </c>
      <c r="D113" s="159">
        <f t="shared" ref="D113:F113" si="342">D98</f>
        <v>30</v>
      </c>
      <c r="E113" s="40">
        <f t="shared" si="342"/>
        <v>88</v>
      </c>
      <c r="F113" s="40">
        <f t="shared" si="342"/>
        <v>160</v>
      </c>
      <c r="G113" s="38">
        <f>(E113+2)*2 -F113</f>
        <v>20</v>
      </c>
      <c r="H113" s="39">
        <f>DEGREES(ACOS((F113-D113)/2/(E113+2)))</f>
        <v>43.761742692679796</v>
      </c>
      <c r="I113" s="70">
        <f t="shared" si="327"/>
        <v>0</v>
      </c>
      <c r="J113" s="52">
        <f>DEGREES(C113/(E113-6+2))</f>
        <v>108.1237382566363</v>
      </c>
      <c r="K113" s="39">
        <f>J113-H113</f>
        <v>64.361995563956498</v>
      </c>
      <c r="L113" s="41">
        <f t="shared" si="308"/>
        <v>62.249497989943649</v>
      </c>
      <c r="M113" s="41">
        <f t="shared" si="328"/>
        <v>0</v>
      </c>
      <c r="N113" s="39">
        <f>(E113+2)*SIN(RADIANS(K113))</f>
        <v>81.139115201580609</v>
      </c>
      <c r="O113" s="39">
        <f>(F113/2)- (E113+2)*COS(RADIANS(K113))</f>
        <v>41.058454264055833</v>
      </c>
      <c r="P113" s="42">
        <v>1</v>
      </c>
      <c r="Q113" s="43">
        <f t="shared" si="309"/>
        <v>168.3</v>
      </c>
      <c r="R113" s="42">
        <v>0.3</v>
      </c>
      <c r="S113" s="39">
        <f>Q113*R113</f>
        <v>50.49</v>
      </c>
      <c r="T113" s="39">
        <f>S113/2</f>
        <v>25.245000000000001</v>
      </c>
      <c r="U113" s="39">
        <f>F113/2 -S113/2</f>
        <v>54.754999999999995</v>
      </c>
      <c r="V113" s="39">
        <f>O113-T113</f>
        <v>15.813454264055832</v>
      </c>
      <c r="W113" s="39">
        <f>COS(RADIANS(17))*((Q113-S113)/2-8)</f>
        <v>48.680693602298319</v>
      </c>
      <c r="X113" s="40">
        <f xml:space="preserve"> N113- SQRT(W113*W113-V113*V113)</f>
        <v>35.098431085904579</v>
      </c>
      <c r="Y113" s="39">
        <f>SQRT(X113*X113+U113*U113)</f>
        <v>65.038526195571137</v>
      </c>
      <c r="Z113" s="44">
        <f>DEGREES(ASIN(X113/Y113))</f>
        <v>32.660224548941962</v>
      </c>
      <c r="AA113" s="44">
        <f t="shared" si="313"/>
        <v>31.701771015014526</v>
      </c>
      <c r="AB113" s="52">
        <f t="shared" si="314"/>
        <v>64.361995563956484</v>
      </c>
      <c r="AC113" s="70">
        <f>AB113-AB$113</f>
        <v>0</v>
      </c>
      <c r="AD113" s="70">
        <f t="shared" si="333"/>
        <v>108.12373825663627</v>
      </c>
      <c r="AE113" s="71">
        <f>H113+AB113-J$113</f>
        <v>0</v>
      </c>
      <c r="AG113" s="148">
        <f t="shared" si="300"/>
        <v>160</v>
      </c>
      <c r="AH113" s="148">
        <f t="shared" si="317"/>
        <v>0</v>
      </c>
      <c r="AI113" s="148">
        <f t="shared" si="318"/>
        <v>0</v>
      </c>
      <c r="AJ113" s="148">
        <f t="shared" si="319"/>
        <v>0</v>
      </c>
      <c r="AK113" s="148">
        <f t="shared" si="334"/>
        <v>0</v>
      </c>
      <c r="AM113" s="150">
        <f>AG113/AG$113-1</f>
        <v>0</v>
      </c>
      <c r="AN113" s="151">
        <f>AB113/AB$113-1</f>
        <v>0</v>
      </c>
      <c r="AO113" s="151">
        <f>H113/H$113-1</f>
        <v>0</v>
      </c>
      <c r="AP113" s="150">
        <f>AD113/AD$113-1</f>
        <v>0</v>
      </c>
      <c r="AQ113" s="150">
        <f>(Q113+60)/(Q$113+60) -1</f>
        <v>0</v>
      </c>
      <c r="AS113" s="61">
        <f t="shared" si="335"/>
        <v>97.347929075848228</v>
      </c>
    </row>
    <row r="114" spans="1:45">
      <c r="B114" s="20">
        <f t="shared" si="325"/>
        <v>168.3</v>
      </c>
      <c r="C114" s="63">
        <f t="shared" ref="C114:C118" si="343">100*(0.297865*B114/100+1.08387)</f>
        <v>158.51767949999999</v>
      </c>
      <c r="D114" s="140">
        <f t="shared" ref="D114:F114" si="344">D99</f>
        <v>30</v>
      </c>
      <c r="E114" s="63">
        <f t="shared" si="344"/>
        <v>87.5</v>
      </c>
      <c r="F114" s="63">
        <f t="shared" si="344"/>
        <v>159</v>
      </c>
      <c r="G114" s="20">
        <f t="shared" ref="G114:G118" si="345">(E114+2)*2 -F114</f>
        <v>20</v>
      </c>
      <c r="H114" s="3">
        <f>DEGREES(ACOS((F114-D118)/2/(E114+2)))</f>
        <v>43.890143065950454</v>
      </c>
      <c r="I114" s="51">
        <f t="shared" si="327"/>
        <v>0.12840037327065801</v>
      </c>
      <c r="J114" s="3"/>
      <c r="K114" s="21"/>
      <c r="L114" s="11">
        <f>((F114-D118)/2)*TAN(RADIANS(H114))</f>
        <v>62.048368229954285</v>
      </c>
      <c r="M114" s="11">
        <f t="shared" si="328"/>
        <v>-0.20112975998936378</v>
      </c>
      <c r="N114" s="21"/>
      <c r="O114" s="21"/>
      <c r="P114" s="23">
        <f>P$113</f>
        <v>1</v>
      </c>
      <c r="Q114" s="20">
        <f t="shared" si="309"/>
        <v>168.3</v>
      </c>
      <c r="R114" s="23">
        <f>R$113</f>
        <v>0.3</v>
      </c>
      <c r="S114" s="3">
        <f>Q114*R114</f>
        <v>50.49</v>
      </c>
      <c r="T114" s="3">
        <f>S114/2</f>
        <v>25.245000000000001</v>
      </c>
      <c r="U114" s="3">
        <f t="shared" ref="U114:U118" si="346">F114/2 -S114/2</f>
        <v>54.254999999999995</v>
      </c>
      <c r="V114" s="3"/>
      <c r="W114" s="3">
        <f t="shared" ref="W114:W118" si="347">COS(RADIANS(17))*((Q114-S114)/2 -8)</f>
        <v>48.680693602298319</v>
      </c>
      <c r="X114" s="21">
        <f t="shared" ref="X114:X117" si="348">X$113 -M114</f>
        <v>35.299560845893943</v>
      </c>
      <c r="Y114" s="3">
        <f>SQRT(X114*X114+U114*U114)</f>
        <v>64.727614052373099</v>
      </c>
      <c r="Z114" s="9">
        <f>DEGREES(ASIN(X114/Y114))</f>
        <v>33.048961154379555</v>
      </c>
      <c r="AA114" s="9">
        <f t="shared" si="313"/>
        <v>31.958796034188094</v>
      </c>
      <c r="AB114" s="4">
        <f t="shared" si="314"/>
        <v>65.007757188567652</v>
      </c>
      <c r="AC114" s="69">
        <f t="shared" ref="AC114:AC118" si="349">AB114-AB$113</f>
        <v>0.64576162461116837</v>
      </c>
      <c r="AD114" s="51">
        <f t="shared" si="333"/>
        <v>108.89790025451811</v>
      </c>
      <c r="AE114" s="64">
        <f t="shared" ref="AE114:AE118" si="350">H114+AB114-J$113</f>
        <v>0.77416199788180506</v>
      </c>
      <c r="AG114" s="128">
        <f t="shared" si="300"/>
        <v>159</v>
      </c>
      <c r="AH114" s="128">
        <f t="shared" si="317"/>
        <v>0.64576162461116837</v>
      </c>
      <c r="AI114" s="128">
        <f t="shared" si="318"/>
        <v>0.12840037327065801</v>
      </c>
      <c r="AJ114" s="128">
        <f t="shared" si="319"/>
        <v>0.77416199788180506</v>
      </c>
      <c r="AK114" s="128">
        <f t="shared" si="334"/>
        <v>0.20112975998936378</v>
      </c>
      <c r="AL114" s="59"/>
      <c r="AM114" s="134">
        <f t="shared" ref="AM114:AM118" si="351">AG114/AG$113-1</f>
        <v>-6.2499999999999778E-3</v>
      </c>
      <c r="AN114" s="135">
        <f t="shared" ref="AN114:AN118" si="352">AB114/AB$113-1</f>
        <v>1.003327536619758E-2</v>
      </c>
      <c r="AO114" s="135">
        <f t="shared" ref="AO114:AO118" si="353">H114/H$113-1</f>
        <v>2.9340781552589235E-3</v>
      </c>
      <c r="AP114" s="134">
        <f t="shared" ref="AP114:AP118" si="354">AD114/AD$113-1</f>
        <v>7.1599633009757913E-3</v>
      </c>
      <c r="AQ114" s="134">
        <f t="shared" ref="AQ114:AQ118" si="355">(Q114+60)/(Q$113+60) -1</f>
        <v>0</v>
      </c>
      <c r="AS114" s="61">
        <f t="shared" si="335"/>
        <v>97.347929075848228</v>
      </c>
    </row>
    <row r="115" spans="1:45">
      <c r="B115" s="20">
        <f t="shared" si="325"/>
        <v>168.3</v>
      </c>
      <c r="C115" s="18">
        <f t="shared" si="343"/>
        <v>158.51767949999999</v>
      </c>
      <c r="D115" s="140">
        <f t="shared" ref="D115:F115" si="356">D100</f>
        <v>30</v>
      </c>
      <c r="E115" s="63">
        <f t="shared" si="356"/>
        <v>87</v>
      </c>
      <c r="F115" s="63">
        <f t="shared" si="356"/>
        <v>158</v>
      </c>
      <c r="G115" s="20">
        <f t="shared" si="345"/>
        <v>20</v>
      </c>
      <c r="H115" s="3">
        <f>DEGREES(ACOS((F115-D115)/2/(E115+2)))</f>
        <v>44.019682679971879</v>
      </c>
      <c r="I115" s="51">
        <f t="shared" si="327"/>
        <v>0.25793998729208312</v>
      </c>
      <c r="J115" s="3"/>
      <c r="K115" s="21"/>
      <c r="L115" s="11">
        <f>((F115-D115)/2)*TAN(RADIANS(H115))</f>
        <v>61.846584384264908</v>
      </c>
      <c r="M115" s="11">
        <f t="shared" si="328"/>
        <v>-0.40291360567874079</v>
      </c>
      <c r="N115" s="21"/>
      <c r="O115" s="21"/>
      <c r="P115" s="23">
        <f t="shared" ref="P115:R118" si="357">P$113</f>
        <v>1</v>
      </c>
      <c r="Q115" s="20">
        <f t="shared" si="309"/>
        <v>168.3</v>
      </c>
      <c r="R115" s="23">
        <f t="shared" si="357"/>
        <v>0.3</v>
      </c>
      <c r="S115" s="3">
        <f t="shared" ref="S115:S118" si="358">Q115*R115</f>
        <v>50.49</v>
      </c>
      <c r="T115" s="3">
        <f t="shared" ref="T115:T118" si="359">S115/2</f>
        <v>25.245000000000001</v>
      </c>
      <c r="U115" s="3">
        <f t="shared" si="346"/>
        <v>53.754999999999995</v>
      </c>
      <c r="V115" s="3"/>
      <c r="W115" s="3">
        <f t="shared" si="347"/>
        <v>48.680693602298319</v>
      </c>
      <c r="X115" s="21">
        <f t="shared" si="348"/>
        <v>35.50134469158332</v>
      </c>
      <c r="Y115" s="3">
        <f>SQRT(X115*X115+U115*U115)</f>
        <v>64.42007062950654</v>
      </c>
      <c r="Z115" s="9">
        <f>DEGREES(ASIN(X115/Y115))</f>
        <v>33.441917464224701</v>
      </c>
      <c r="AA115" s="9">
        <f t="shared" si="313"/>
        <v>32.218458380798452</v>
      </c>
      <c r="AB115" s="4">
        <f t="shared" si="314"/>
        <v>65.660375845023154</v>
      </c>
      <c r="AC115" s="69">
        <f t="shared" si="349"/>
        <v>1.2983802810666702</v>
      </c>
      <c r="AD115" s="51">
        <f t="shared" si="333"/>
        <v>109.68005852499503</v>
      </c>
      <c r="AE115" s="64">
        <f t="shared" si="350"/>
        <v>1.5563202683587321</v>
      </c>
      <c r="AG115" s="128">
        <f t="shared" si="300"/>
        <v>158</v>
      </c>
      <c r="AH115" s="128">
        <f t="shared" si="317"/>
        <v>1.2983802810666702</v>
      </c>
      <c r="AI115" s="128">
        <f t="shared" si="318"/>
        <v>0.25793998729208312</v>
      </c>
      <c r="AJ115" s="128">
        <f t="shared" si="319"/>
        <v>1.5563202683587321</v>
      </c>
      <c r="AK115" s="128">
        <f t="shared" si="334"/>
        <v>0.40291360567874079</v>
      </c>
      <c r="AL115" s="59"/>
      <c r="AM115" s="134">
        <f t="shared" si="351"/>
        <v>-1.2499999999999956E-2</v>
      </c>
      <c r="AN115" s="135">
        <f t="shared" si="352"/>
        <v>2.0173089253835652E-2</v>
      </c>
      <c r="AO115" s="135">
        <f t="shared" si="353"/>
        <v>5.894189111788517E-3</v>
      </c>
      <c r="AP115" s="134">
        <f t="shared" si="354"/>
        <v>1.439388143115039E-2</v>
      </c>
      <c r="AQ115" s="134">
        <f t="shared" si="355"/>
        <v>0</v>
      </c>
      <c r="AS115" s="61">
        <f t="shared" si="335"/>
        <v>97.347929075848228</v>
      </c>
    </row>
    <row r="116" spans="1:45">
      <c r="B116" s="20">
        <f t="shared" si="325"/>
        <v>168.3</v>
      </c>
      <c r="C116" s="18">
        <f t="shared" si="343"/>
        <v>158.51767949999999</v>
      </c>
      <c r="D116" s="140">
        <f t="shared" ref="D116:F116" si="360">D101</f>
        <v>30</v>
      </c>
      <c r="E116" s="63">
        <f t="shared" si="360"/>
        <v>86.5</v>
      </c>
      <c r="F116" s="63">
        <f t="shared" si="360"/>
        <v>157</v>
      </c>
      <c r="G116" s="20">
        <f t="shared" si="345"/>
        <v>20</v>
      </c>
      <c r="H116" s="3">
        <f>DEGREES(ACOS((F116-D116)/2/(E116+2)))</f>
        <v>44.150378518145523</v>
      </c>
      <c r="I116" s="51">
        <f t="shared" si="327"/>
        <v>0.38863582546572673</v>
      </c>
      <c r="J116" s="3"/>
      <c r="K116" s="21"/>
      <c r="L116" s="11">
        <f>((F116-D116)/2)*TAN(RADIANS(H116))</f>
        <v>61.644140029689758</v>
      </c>
      <c r="M116" s="11">
        <f t="shared" si="328"/>
        <v>-0.60535796025389033</v>
      </c>
      <c r="N116" s="21"/>
      <c r="O116" s="21"/>
      <c r="P116" s="23">
        <f t="shared" si="357"/>
        <v>1</v>
      </c>
      <c r="Q116" s="20">
        <f t="shared" si="309"/>
        <v>168.3</v>
      </c>
      <c r="R116" s="23">
        <f t="shared" si="357"/>
        <v>0.3</v>
      </c>
      <c r="S116" s="3">
        <f t="shared" si="358"/>
        <v>50.49</v>
      </c>
      <c r="T116" s="3">
        <f t="shared" si="359"/>
        <v>25.245000000000001</v>
      </c>
      <c r="U116" s="3">
        <f t="shared" si="346"/>
        <v>53.254999999999995</v>
      </c>
      <c r="V116" s="3"/>
      <c r="W116" s="3">
        <f t="shared" si="347"/>
        <v>48.680693602298319</v>
      </c>
      <c r="X116" s="21">
        <f t="shared" si="348"/>
        <v>35.703789046158469</v>
      </c>
      <c r="Y116" s="3">
        <f t="shared" ref="Y116:Y118" si="361">SQRT(X116*X116+U116*U116)</f>
        <v>64.1159541553628</v>
      </c>
      <c r="Z116" s="9">
        <f t="shared" ref="Z116:Z118" si="362">DEGREES(ASIN(X116/Y116))</f>
        <v>33.839115140253348</v>
      </c>
      <c r="AA116" s="9">
        <f t="shared" si="313"/>
        <v>32.480753873174052</v>
      </c>
      <c r="AB116" s="4">
        <f t="shared" si="314"/>
        <v>66.319869013427393</v>
      </c>
      <c r="AC116" s="69">
        <f t="shared" si="349"/>
        <v>1.9578734494709096</v>
      </c>
      <c r="AD116" s="51">
        <f t="shared" si="333"/>
        <v>110.47024753157291</v>
      </c>
      <c r="AE116" s="64">
        <f t="shared" si="350"/>
        <v>2.3465092749366079</v>
      </c>
      <c r="AG116" s="128">
        <f t="shared" si="300"/>
        <v>157</v>
      </c>
      <c r="AH116" s="128">
        <f t="shared" si="317"/>
        <v>1.9578734494709096</v>
      </c>
      <c r="AI116" s="128">
        <f t="shared" si="318"/>
        <v>0.38863582546572673</v>
      </c>
      <c r="AJ116" s="128">
        <f t="shared" si="319"/>
        <v>2.3465092749366079</v>
      </c>
      <c r="AK116" s="128">
        <f t="shared" si="334"/>
        <v>0.60535796025389033</v>
      </c>
      <c r="AL116" s="59"/>
      <c r="AM116" s="134">
        <f t="shared" si="351"/>
        <v>-1.8750000000000044E-2</v>
      </c>
      <c r="AN116" s="135">
        <f t="shared" si="352"/>
        <v>3.0419713253380554E-2</v>
      </c>
      <c r="AO116" s="135">
        <f t="shared" si="353"/>
        <v>8.8807209574570667E-3</v>
      </c>
      <c r="AP116" s="134">
        <f t="shared" si="354"/>
        <v>2.1702073131869559E-2</v>
      </c>
      <c r="AQ116" s="134">
        <f t="shared" si="355"/>
        <v>0</v>
      </c>
      <c r="AS116" s="61">
        <f t="shared" si="335"/>
        <v>97.347929075848228</v>
      </c>
    </row>
    <row r="117" spans="1:45" s="168" customFormat="1">
      <c r="B117" s="169">
        <f t="shared" si="325"/>
        <v>168.3</v>
      </c>
      <c r="C117" s="170">
        <f t="shared" si="343"/>
        <v>158.51767949999999</v>
      </c>
      <c r="D117" s="171">
        <f t="shared" ref="D117:F117" si="363">D102</f>
        <v>30</v>
      </c>
      <c r="E117" s="146">
        <f t="shared" si="363"/>
        <v>86</v>
      </c>
      <c r="F117" s="146">
        <f t="shared" si="363"/>
        <v>156</v>
      </c>
      <c r="G117" s="169">
        <f t="shared" si="345"/>
        <v>20</v>
      </c>
      <c r="H117" s="49">
        <f>DEGREES(ACOS((F117-D117)/2/(E117+2)))</f>
        <v>44.282247921250431</v>
      </c>
      <c r="I117" s="121">
        <f t="shared" si="327"/>
        <v>0.52050522857063442</v>
      </c>
      <c r="J117" s="49"/>
      <c r="K117" s="146"/>
      <c r="L117" s="83">
        <f>((F117-D117)/2)*TAN(RADIANS(H117))</f>
        <v>61.441028637222509</v>
      </c>
      <c r="M117" s="83">
        <f t="shared" si="328"/>
        <v>-0.80846935272113996</v>
      </c>
      <c r="N117" s="146"/>
      <c r="O117" s="146"/>
      <c r="P117" s="172">
        <f t="shared" si="357"/>
        <v>1</v>
      </c>
      <c r="Q117" s="169">
        <f t="shared" si="309"/>
        <v>168.3</v>
      </c>
      <c r="R117" s="172">
        <f t="shared" si="357"/>
        <v>0.3</v>
      </c>
      <c r="S117" s="49">
        <f t="shared" si="358"/>
        <v>50.49</v>
      </c>
      <c r="T117" s="49">
        <f t="shared" si="359"/>
        <v>25.245000000000001</v>
      </c>
      <c r="U117" s="49">
        <f t="shared" si="346"/>
        <v>52.754999999999995</v>
      </c>
      <c r="V117" s="49"/>
      <c r="W117" s="49">
        <f t="shared" si="347"/>
        <v>48.680693602298319</v>
      </c>
      <c r="X117" s="146">
        <f t="shared" si="348"/>
        <v>35.906900438625719</v>
      </c>
      <c r="Y117" s="49">
        <f t="shared" si="361"/>
        <v>63.815323583833525</v>
      </c>
      <c r="Z117" s="84">
        <f t="shared" si="362"/>
        <v>34.2405743824472</v>
      </c>
      <c r="AA117" s="84">
        <f t="shared" si="313"/>
        <v>32.745676268038565</v>
      </c>
      <c r="AB117" s="173">
        <f t="shared" si="314"/>
        <v>66.986250650485772</v>
      </c>
      <c r="AC117" s="121">
        <f t="shared" si="349"/>
        <v>2.6242550865292884</v>
      </c>
      <c r="AD117" s="121">
        <f t="shared" si="333"/>
        <v>111.2684985717362</v>
      </c>
      <c r="AE117" s="149">
        <f t="shared" si="350"/>
        <v>3.1447603150999015</v>
      </c>
      <c r="AG117" s="174">
        <f t="shared" si="300"/>
        <v>156</v>
      </c>
      <c r="AH117" s="174">
        <f t="shared" si="317"/>
        <v>2.6242550865292884</v>
      </c>
      <c r="AI117" s="174">
        <f t="shared" si="318"/>
        <v>0.52050522857063442</v>
      </c>
      <c r="AJ117" s="174">
        <f t="shared" si="319"/>
        <v>3.1447603150999015</v>
      </c>
      <c r="AK117" s="174">
        <f t="shared" si="334"/>
        <v>0.80846935272113996</v>
      </c>
      <c r="AM117" s="175">
        <f t="shared" si="351"/>
        <v>-2.5000000000000022E-2</v>
      </c>
      <c r="AN117" s="176">
        <f t="shared" si="352"/>
        <v>4.0773364211828422E-2</v>
      </c>
      <c r="AO117" s="176">
        <f t="shared" si="353"/>
        <v>1.1894069946572383E-2</v>
      </c>
      <c r="AP117" s="175">
        <f t="shared" si="354"/>
        <v>2.9084827863014695E-2</v>
      </c>
      <c r="AQ117" s="175">
        <f t="shared" si="355"/>
        <v>0</v>
      </c>
      <c r="AS117" s="61">
        <f t="shared" si="335"/>
        <v>97.347929075848228</v>
      </c>
    </row>
    <row r="118" spans="1:45">
      <c r="B118" s="20">
        <f t="shared" si="325"/>
        <v>168.3</v>
      </c>
      <c r="C118" s="91">
        <f t="shared" si="343"/>
        <v>158.51767949999999</v>
      </c>
      <c r="D118" s="140">
        <f t="shared" ref="D118:F118" si="364">D103</f>
        <v>30</v>
      </c>
      <c r="E118" s="63">
        <f t="shared" si="364"/>
        <v>85.5</v>
      </c>
      <c r="F118" s="63">
        <f t="shared" si="364"/>
        <v>155</v>
      </c>
      <c r="G118" s="90">
        <f t="shared" si="345"/>
        <v>20</v>
      </c>
      <c r="H118" s="92">
        <f>DEGREES(ACOS((F118-D118)/2/(E118+2)))</f>
        <v>44.415308597192968</v>
      </c>
      <c r="I118" s="93">
        <f t="shared" si="327"/>
        <v>0.65356590451317231</v>
      </c>
      <c r="J118" s="92"/>
      <c r="K118" s="94"/>
      <c r="L118" s="95">
        <f>((F118-D118)/2)*TAN(RADIANS(H118))</f>
        <v>61.237243569579434</v>
      </c>
      <c r="M118" s="95">
        <f t="shared" si="328"/>
        <v>-1.012254420364215</v>
      </c>
      <c r="N118" s="94"/>
      <c r="O118" s="94"/>
      <c r="P118" s="96">
        <f t="shared" si="357"/>
        <v>1</v>
      </c>
      <c r="Q118" s="90">
        <f t="shared" si="309"/>
        <v>168.3</v>
      </c>
      <c r="R118" s="96">
        <f t="shared" si="357"/>
        <v>0.3</v>
      </c>
      <c r="S118" s="92">
        <f t="shared" si="358"/>
        <v>50.49</v>
      </c>
      <c r="T118" s="92">
        <f t="shared" si="359"/>
        <v>25.245000000000001</v>
      </c>
      <c r="U118" s="92">
        <f t="shared" si="346"/>
        <v>52.254999999999995</v>
      </c>
      <c r="V118" s="92"/>
      <c r="W118" s="92">
        <f t="shared" si="347"/>
        <v>48.680693602298319</v>
      </c>
      <c r="X118" s="94">
        <f>X$113 -M118</f>
        <v>36.110685506268794</v>
      </c>
      <c r="Y118" s="92">
        <f t="shared" si="361"/>
        <v>63.518238583360059</v>
      </c>
      <c r="Z118" s="105">
        <f t="shared" si="362"/>
        <v>34.646313846007772</v>
      </c>
      <c r="AA118" s="105">
        <f t="shared" si="313"/>
        <v>33.013217158922963</v>
      </c>
      <c r="AB118" s="97">
        <f t="shared" si="314"/>
        <v>67.659531004930727</v>
      </c>
      <c r="AC118" s="93">
        <f t="shared" si="349"/>
        <v>3.2975354409742437</v>
      </c>
      <c r="AD118" s="93">
        <f t="shared" si="333"/>
        <v>112.07483960212369</v>
      </c>
      <c r="AE118" s="98">
        <f t="shared" si="350"/>
        <v>3.9511013454873876</v>
      </c>
      <c r="AG118" s="128">
        <f t="shared" si="300"/>
        <v>155</v>
      </c>
      <c r="AH118" s="128">
        <f t="shared" si="317"/>
        <v>3.2975354409742437</v>
      </c>
      <c r="AI118" s="128">
        <f t="shared" si="318"/>
        <v>0.65356590451317231</v>
      </c>
      <c r="AJ118" s="128">
        <f t="shared" si="319"/>
        <v>3.9511013454873876</v>
      </c>
      <c r="AK118" s="128">
        <f t="shared" si="334"/>
        <v>1.012254420364215</v>
      </c>
      <c r="AM118" s="134">
        <f t="shared" si="351"/>
        <v>-3.125E-2</v>
      </c>
      <c r="AN118" s="135">
        <f t="shared" si="352"/>
        <v>5.1234201364957377E-2</v>
      </c>
      <c r="AO118" s="135">
        <f t="shared" si="353"/>
        <v>1.4934640722671588E-2</v>
      </c>
      <c r="AP118" s="134">
        <f t="shared" si="354"/>
        <v>3.654240418611221E-2</v>
      </c>
      <c r="AQ118" s="134">
        <f t="shared" si="355"/>
        <v>0</v>
      </c>
      <c r="AS118" s="61">
        <f t="shared" si="335"/>
        <v>97.347929075848228</v>
      </c>
    </row>
    <row r="119" spans="1:45" s="87" customFormat="1" ht="15.75" thickBot="1">
      <c r="C119" s="100"/>
      <c r="H119" s="100"/>
      <c r="I119" s="101"/>
      <c r="J119" s="100"/>
      <c r="K119" s="100"/>
      <c r="L119" s="100"/>
      <c r="M119" s="100"/>
      <c r="N119" s="100"/>
      <c r="O119" s="100"/>
      <c r="P119" s="106"/>
      <c r="R119" s="106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1"/>
      <c r="AC119" s="101"/>
      <c r="AD119" s="101"/>
      <c r="AE119" s="101"/>
    </row>
    <row r="120" spans="1:45">
      <c r="A120" s="15" t="s">
        <v>54</v>
      </c>
      <c r="AG120" s="59" t="s">
        <v>110</v>
      </c>
      <c r="AH120" s="59"/>
      <c r="AI120" s="59"/>
      <c r="AJ120" s="59"/>
      <c r="AK120" s="59"/>
    </row>
    <row r="121" spans="1:45" ht="17.25" customHeight="1">
      <c r="A121" s="60" t="s">
        <v>107</v>
      </c>
      <c r="B121" s="60">
        <v>0</v>
      </c>
      <c r="C121" s="2"/>
      <c r="D121" s="20" t="s">
        <v>105</v>
      </c>
      <c r="E121" s="60">
        <v>0.5</v>
      </c>
      <c r="F121" s="60">
        <v>1</v>
      </c>
      <c r="P121" s="2" t="s">
        <v>52</v>
      </c>
      <c r="Q121" s="2"/>
      <c r="R121" s="2"/>
      <c r="S121" s="10"/>
      <c r="T121" s="10"/>
      <c r="AG121" s="59"/>
      <c r="AH121" s="59"/>
      <c r="AI121" s="59"/>
      <c r="AJ121" s="59"/>
      <c r="AK121" s="59"/>
      <c r="AM121" s="59" t="s">
        <v>111</v>
      </c>
      <c r="AN121" s="59"/>
      <c r="AO121" s="59"/>
      <c r="AP121" s="59"/>
      <c r="AQ121" s="59"/>
    </row>
    <row r="122" spans="1:45" s="35" customFormat="1" ht="135">
      <c r="B122" s="48" t="s">
        <v>12</v>
      </c>
      <c r="C122" s="48" t="s">
        <v>8</v>
      </c>
      <c r="D122" s="29" t="s">
        <v>42</v>
      </c>
      <c r="E122" s="28" t="s">
        <v>3</v>
      </c>
      <c r="F122" s="28" t="s">
        <v>4</v>
      </c>
      <c r="G122" s="143" t="s">
        <v>49</v>
      </c>
      <c r="H122" s="28" t="s">
        <v>41</v>
      </c>
      <c r="I122" s="30" t="s">
        <v>1</v>
      </c>
      <c r="J122" s="30" t="s">
        <v>6</v>
      </c>
      <c r="K122" s="30" t="s">
        <v>5</v>
      </c>
      <c r="M122" s="66" t="s">
        <v>21</v>
      </c>
      <c r="N122" s="66" t="s">
        <v>20</v>
      </c>
      <c r="O122" s="66" t="s">
        <v>91</v>
      </c>
      <c r="P122" s="31" t="s">
        <v>49</v>
      </c>
      <c r="Q122" s="46" t="s">
        <v>112</v>
      </c>
      <c r="R122" s="28" t="s">
        <v>18</v>
      </c>
      <c r="S122" s="28" t="s">
        <v>19</v>
      </c>
      <c r="T122" s="73" t="s">
        <v>83</v>
      </c>
      <c r="U122" s="27"/>
      <c r="V122" s="27"/>
      <c r="W122" s="27"/>
      <c r="AG122" s="28" t="str">
        <f>F122</f>
        <v>span (cm)</v>
      </c>
      <c r="AH122" s="28" t="s">
        <v>113</v>
      </c>
      <c r="AI122" s="28" t="s">
        <v>114</v>
      </c>
      <c r="AJ122" s="28" t="s">
        <v>115</v>
      </c>
      <c r="AK122" s="28" t="str">
        <f>T122</f>
        <v>change in distance between handles (cm / cm)</v>
      </c>
      <c r="AM122" s="28" t="str">
        <f>AG122</f>
        <v>span (cm)</v>
      </c>
      <c r="AN122" s="28" t="str">
        <f t="shared" ref="AN122" si="365">AH122</f>
        <v>Change in catch angle (deg)</v>
      </c>
      <c r="AO122" s="28" t="str">
        <f t="shared" ref="AO122" si="366">AI122</f>
        <v>Change in finish angle (deg)</v>
      </c>
      <c r="AP122" s="28" t="str">
        <f t="shared" ref="AP122" si="367">AJ122</f>
        <v>Change in sweep angle (deg)</v>
      </c>
      <c r="AQ122" s="28" t="str">
        <f t="shared" ref="AQ122" si="368">AK122</f>
        <v>change in distance between handles (cm / cm)</v>
      </c>
    </row>
    <row r="123" spans="1:45" s="35" customFormat="1">
      <c r="B123" s="140">
        <f t="shared" ref="B123" si="369">5*B121+B128</f>
        <v>183</v>
      </c>
      <c r="C123" s="18">
        <f t="shared" ref="C123:C127" si="370">100*(0.297865*B123/100+1.08387)</f>
        <v>162.89629500000001</v>
      </c>
      <c r="D123" s="21">
        <f>F123-2*(E123+2)*COS(RADIANS(I123))</f>
        <v>28.160678165959865</v>
      </c>
      <c r="E123" s="63">
        <f t="shared" ref="E123" si="371">5*E121+E128</f>
        <v>90.5</v>
      </c>
      <c r="F123" s="63">
        <f>5*F121+F128</f>
        <v>165</v>
      </c>
      <c r="G123" s="140">
        <f t="shared" ref="G123:G126" si="372">G$128</f>
        <v>62.249497989943649</v>
      </c>
      <c r="H123" s="20">
        <f t="shared" ref="H123:H133" si="373">(E123+2)*2 -F123</f>
        <v>20</v>
      </c>
      <c r="I123" s="9">
        <f t="shared" ref="I123:I133" si="374">DEGREES(ASIN(G123/(E123+2)))</f>
        <v>42.296516659983979</v>
      </c>
      <c r="J123" s="9">
        <f t="shared" ref="J123:J133" si="375">DEGREES(C123/(E123-6+2))</f>
        <v>107.8990774776649</v>
      </c>
      <c r="K123" s="9">
        <f t="shared" ref="K123:K133" si="376">J123-I123</f>
        <v>65.602560817680924</v>
      </c>
      <c r="M123" s="69">
        <f t="shared" ref="M123:M127" si="377">K123-K$128</f>
        <v>-1.7460560350918541</v>
      </c>
      <c r="N123" s="69">
        <f>I123-I$128</f>
        <v>-1.4652260326958029</v>
      </c>
      <c r="O123" s="9">
        <f t="shared" ref="O123:O127" si="378">J123-J$128</f>
        <v>-3.2112820677876641</v>
      </c>
      <c r="P123" s="11">
        <f t="shared" ref="P123:P133" si="379">((F123-D123)/2)*TAN(RADIANS(I123))</f>
        <v>62.249497989943656</v>
      </c>
      <c r="Q123" s="62">
        <f>P$128-P123</f>
        <v>0</v>
      </c>
      <c r="R123" s="3">
        <f t="shared" ref="R123:R133" si="380">(E123+2)*SIN(RADIANS(K123))</f>
        <v>84.239946421452629</v>
      </c>
      <c r="S123" s="3">
        <f t="shared" ref="S123:S133" si="381">(F123/2)- (E123+2)*COS(RADIANS(K123))</f>
        <v>44.29160528220546</v>
      </c>
      <c r="T123" s="61">
        <f t="shared" ref="T123:T133" si="382">D123-D$128</f>
        <v>-1.8393218340401347</v>
      </c>
      <c r="U123" s="27"/>
      <c r="V123" s="27"/>
      <c r="W123" s="27"/>
      <c r="AG123" s="128">
        <f>F123</f>
        <v>165</v>
      </c>
      <c r="AH123" s="128">
        <f>M123</f>
        <v>-1.7460560350918541</v>
      </c>
      <c r="AI123" s="128">
        <f>N123</f>
        <v>-1.4652260326958029</v>
      </c>
      <c r="AJ123" s="128">
        <f t="shared" ref="AJ123:AJ133" si="383">O123</f>
        <v>-3.2112820677876641</v>
      </c>
      <c r="AK123" s="128">
        <f>T123</f>
        <v>-1.8393218340401347</v>
      </c>
      <c r="AM123" s="134">
        <f t="shared" ref="AM123:AM127" si="384">AG123/AG$128-1</f>
        <v>3.125E-2</v>
      </c>
      <c r="AN123" s="135">
        <f t="shared" ref="AN123:AN127" si="385">K123/K$128-1</f>
        <v>-2.5925640594948174E-2</v>
      </c>
      <c r="AO123" s="135">
        <f t="shared" ref="AO123:AO127" si="386">I123/I$128-1</f>
        <v>-3.3481894059509187E-2</v>
      </c>
      <c r="AP123" s="135">
        <f t="shared" ref="AP123:AP127" si="387">J123/J$128-1</f>
        <v>-2.8901734104046395E-2</v>
      </c>
      <c r="AQ123" s="134">
        <f t="shared" ref="AQ123:AQ127" si="388">(Q123+60)/(Q$128+60) -1</f>
        <v>0</v>
      </c>
    </row>
    <row r="124" spans="1:45" s="35" customFormat="1">
      <c r="B124" s="140">
        <f t="shared" ref="B124" si="389">4*B121+B128</f>
        <v>183</v>
      </c>
      <c r="C124" s="18">
        <f t="shared" si="370"/>
        <v>162.89629500000001</v>
      </c>
      <c r="D124" s="21">
        <f>F124-2*(E124+2)*COS(RADIANS(I124))</f>
        <v>28.515683564480412</v>
      </c>
      <c r="E124" s="63">
        <f t="shared" ref="E124" si="390">4*E121+E128</f>
        <v>90</v>
      </c>
      <c r="F124" s="63">
        <f>4*F121+F128</f>
        <v>164</v>
      </c>
      <c r="G124" s="140">
        <f t="shared" si="372"/>
        <v>62.249497989943649</v>
      </c>
      <c r="H124" s="20">
        <f t="shared" si="373"/>
        <v>20</v>
      </c>
      <c r="I124" s="9">
        <f t="shared" si="374"/>
        <v>42.580466568656313</v>
      </c>
      <c r="J124" s="9">
        <f t="shared" si="375"/>
        <v>108.52639769555832</v>
      </c>
      <c r="K124" s="9">
        <f t="shared" si="376"/>
        <v>65.945931126901996</v>
      </c>
      <c r="M124" s="69">
        <f t="shared" si="377"/>
        <v>-1.4026857258707821</v>
      </c>
      <c r="N124" s="69">
        <f t="shared" ref="N124:N133" si="391">I124-I$128</f>
        <v>-1.1812761240234693</v>
      </c>
      <c r="O124" s="9">
        <f t="shared" si="378"/>
        <v>-2.5839618498942514</v>
      </c>
      <c r="P124" s="11">
        <f t="shared" si="379"/>
        <v>62.249497989943663</v>
      </c>
      <c r="Q124" s="62">
        <f t="shared" ref="Q124:Q133" si="392">P$128-P124</f>
        <v>0</v>
      </c>
      <c r="R124" s="3">
        <f t="shared" si="380"/>
        <v>84.010832401116957</v>
      </c>
      <c r="S124" s="3">
        <f t="shared" si="381"/>
        <v>44.500932821316233</v>
      </c>
      <c r="T124" s="61">
        <f t="shared" si="382"/>
        <v>-1.4843164355195881</v>
      </c>
      <c r="U124" s="27"/>
      <c r="V124" s="27"/>
      <c r="W124" s="27"/>
      <c r="AG124" s="128">
        <f t="shared" ref="AG124:AG133" si="393">F124</f>
        <v>164</v>
      </c>
      <c r="AH124" s="128">
        <f t="shared" ref="AH124:AH133" si="394">M124</f>
        <v>-1.4026857258707821</v>
      </c>
      <c r="AI124" s="128">
        <f t="shared" ref="AI124:AI133" si="395">N124</f>
        <v>-1.1812761240234693</v>
      </c>
      <c r="AJ124" s="128">
        <f t="shared" si="383"/>
        <v>-2.5839618498942514</v>
      </c>
      <c r="AK124" s="128">
        <f t="shared" ref="AK124:AK133" si="396">T124</f>
        <v>-1.4843164355195881</v>
      </c>
      <c r="AM124" s="134">
        <f t="shared" si="384"/>
        <v>2.4999999999999911E-2</v>
      </c>
      <c r="AN124" s="135">
        <f t="shared" si="385"/>
        <v>-2.0827238797451741E-2</v>
      </c>
      <c r="AO124" s="135">
        <f t="shared" si="386"/>
        <v>-2.6993351985981739E-2</v>
      </c>
      <c r="AP124" s="135">
        <f t="shared" si="387"/>
        <v>-2.3255813953488413E-2</v>
      </c>
      <c r="AQ124" s="134">
        <f t="shared" si="388"/>
        <v>0</v>
      </c>
    </row>
    <row r="125" spans="1:45" s="35" customFormat="1">
      <c r="B125" s="140">
        <f t="shared" ref="B125" si="397">3*B121+B128</f>
        <v>183</v>
      </c>
      <c r="C125" s="18">
        <f t="shared" si="370"/>
        <v>162.89629500000001</v>
      </c>
      <c r="D125" s="21">
        <f>F125-2*(E125+2)*COS(RADIANS(I125))</f>
        <v>28.876922194575286</v>
      </c>
      <c r="E125" s="63">
        <f t="shared" ref="E125" si="398">3*E121+E128</f>
        <v>89.5</v>
      </c>
      <c r="F125" s="63">
        <f>3*F121+F128</f>
        <v>163</v>
      </c>
      <c r="G125" s="140">
        <f t="shared" si="372"/>
        <v>62.249497989943649</v>
      </c>
      <c r="H125" s="20">
        <f t="shared" si="373"/>
        <v>20</v>
      </c>
      <c r="I125" s="9">
        <f t="shared" si="374"/>
        <v>42.868840280541555</v>
      </c>
      <c r="J125" s="9">
        <f t="shared" si="375"/>
        <v>109.16105499202357</v>
      </c>
      <c r="K125" s="9">
        <f t="shared" si="376"/>
        <v>66.292214711482018</v>
      </c>
      <c r="M125" s="69">
        <f t="shared" si="377"/>
        <v>-1.0564021412907607</v>
      </c>
      <c r="N125" s="69">
        <f t="shared" si="391"/>
        <v>-0.89290241213822696</v>
      </c>
      <c r="O125" s="9">
        <f t="shared" si="378"/>
        <v>-1.9493045534290019</v>
      </c>
      <c r="P125" s="11">
        <f t="shared" si="379"/>
        <v>62.249497989943663</v>
      </c>
      <c r="Q125" s="62">
        <f t="shared" si="392"/>
        <v>0</v>
      </c>
      <c r="R125" s="3">
        <f t="shared" si="380"/>
        <v>83.778129132191097</v>
      </c>
      <c r="S125" s="3">
        <f t="shared" si="381"/>
        <v>44.710394414863423</v>
      </c>
      <c r="T125" s="61">
        <f t="shared" si="382"/>
        <v>-1.1230778054247139</v>
      </c>
      <c r="U125" s="27"/>
      <c r="V125" s="27"/>
      <c r="W125" s="27"/>
      <c r="AG125" s="128">
        <f t="shared" si="393"/>
        <v>163</v>
      </c>
      <c r="AH125" s="128">
        <f t="shared" si="394"/>
        <v>-1.0564021412907607</v>
      </c>
      <c r="AI125" s="128">
        <f t="shared" si="395"/>
        <v>-0.89290241213822696</v>
      </c>
      <c r="AJ125" s="128">
        <f t="shared" si="383"/>
        <v>-1.9493045534290019</v>
      </c>
      <c r="AK125" s="128">
        <f t="shared" si="396"/>
        <v>-1.1230778054247139</v>
      </c>
      <c r="AM125" s="134">
        <f t="shared" si="384"/>
        <v>1.8750000000000044E-2</v>
      </c>
      <c r="AN125" s="135">
        <f t="shared" si="385"/>
        <v>-1.568558035275025E-2</v>
      </c>
      <c r="AO125" s="135">
        <f t="shared" si="386"/>
        <v>-2.0403721543008513E-2</v>
      </c>
      <c r="AP125" s="135">
        <f t="shared" si="387"/>
        <v>-1.7543859649122862E-2</v>
      </c>
      <c r="AQ125" s="134">
        <f t="shared" si="388"/>
        <v>0</v>
      </c>
    </row>
    <row r="126" spans="1:45" s="35" customFormat="1">
      <c r="B126" s="140">
        <f t="shared" ref="B126" si="399">2*B121+B128</f>
        <v>183</v>
      </c>
      <c r="C126" s="18">
        <f t="shared" si="370"/>
        <v>162.89629500000001</v>
      </c>
      <c r="D126" s="21">
        <f>F126-2*(E126+2)*COS(RADIANS(I126))</f>
        <v>29.244585797791274</v>
      </c>
      <c r="E126" s="63">
        <f t="shared" ref="E126" si="400">2*E121+E128</f>
        <v>89</v>
      </c>
      <c r="F126" s="63">
        <f>2*F121+F128</f>
        <v>162</v>
      </c>
      <c r="G126" s="140">
        <f t="shared" si="372"/>
        <v>62.249497989943649</v>
      </c>
      <c r="H126" s="20">
        <f t="shared" si="373"/>
        <v>20</v>
      </c>
      <c r="I126" s="9">
        <f t="shared" si="374"/>
        <v>43.161759039251329</v>
      </c>
      <c r="J126" s="9">
        <f t="shared" si="375"/>
        <v>109.80317884491782</v>
      </c>
      <c r="K126" s="9">
        <f t="shared" si="376"/>
        <v>66.641419805666487</v>
      </c>
      <c r="M126" s="69">
        <f t="shared" si="377"/>
        <v>-0.70719704710629117</v>
      </c>
      <c r="N126" s="69">
        <f t="shared" si="391"/>
        <v>-0.59998365342845261</v>
      </c>
      <c r="O126" s="9">
        <f t="shared" si="378"/>
        <v>-1.3071807005347438</v>
      </c>
      <c r="P126" s="11">
        <f t="shared" si="379"/>
        <v>62.249497989943656</v>
      </c>
      <c r="Q126" s="62">
        <f t="shared" si="392"/>
        <v>0</v>
      </c>
      <c r="R126" s="3">
        <f t="shared" si="380"/>
        <v>83.541775482495297</v>
      </c>
      <c r="S126" s="3">
        <f t="shared" si="381"/>
        <v>44.919925869916099</v>
      </c>
      <c r="T126" s="61">
        <f t="shared" si="382"/>
        <v>-0.75541420220872624</v>
      </c>
      <c r="U126" s="27"/>
      <c r="V126" s="27"/>
      <c r="W126" s="27"/>
      <c r="AG126" s="128">
        <f t="shared" si="393"/>
        <v>162</v>
      </c>
      <c r="AH126" s="128">
        <f t="shared" si="394"/>
        <v>-0.70719704710629117</v>
      </c>
      <c r="AI126" s="128">
        <f t="shared" si="395"/>
        <v>-0.59998365342845261</v>
      </c>
      <c r="AJ126" s="128">
        <f t="shared" si="383"/>
        <v>-1.3071807005347438</v>
      </c>
      <c r="AK126" s="128">
        <f t="shared" si="396"/>
        <v>-0.75541420220872624</v>
      </c>
      <c r="AM126" s="134">
        <f t="shared" si="384"/>
        <v>1.2499999999999956E-2</v>
      </c>
      <c r="AN126" s="135">
        <f t="shared" si="385"/>
        <v>-1.0500542997820661E-2</v>
      </c>
      <c r="AO126" s="135">
        <f t="shared" si="386"/>
        <v>-1.3710232191663008E-2</v>
      </c>
      <c r="AP126" s="135">
        <f t="shared" si="387"/>
        <v>-1.176470588235301E-2</v>
      </c>
      <c r="AQ126" s="134">
        <f t="shared" si="388"/>
        <v>0</v>
      </c>
    </row>
    <row r="127" spans="1:45" s="35" customFormat="1">
      <c r="B127" s="140">
        <f t="shared" ref="B127" si="401">B128+B121</f>
        <v>183</v>
      </c>
      <c r="C127" s="18">
        <f t="shared" si="370"/>
        <v>162.89629500000001</v>
      </c>
      <c r="D127" s="21">
        <f>F127-2*(E127+2)*COS(RADIANS(I127))</f>
        <v>29.61887502384522</v>
      </c>
      <c r="E127" s="63">
        <f t="shared" ref="E127" si="402">E128+E121</f>
        <v>88.5</v>
      </c>
      <c r="F127" s="63">
        <f>F128+F121</f>
        <v>161</v>
      </c>
      <c r="G127" s="140">
        <f>G$128</f>
        <v>62.249497989943649</v>
      </c>
      <c r="H127" s="20">
        <f t="shared" si="373"/>
        <v>20</v>
      </c>
      <c r="I127" s="9">
        <f t="shared" si="374"/>
        <v>43.459349230900273</v>
      </c>
      <c r="J127" s="9">
        <f t="shared" si="375"/>
        <v>110.4529017966629</v>
      </c>
      <c r="K127" s="9">
        <f t="shared" si="376"/>
        <v>66.993552565762627</v>
      </c>
      <c r="M127" s="69">
        <f t="shared" si="377"/>
        <v>-0.35506428701015125</v>
      </c>
      <c r="N127" s="69">
        <f t="shared" si="391"/>
        <v>-0.30239346177950921</v>
      </c>
      <c r="O127" s="9">
        <f t="shared" si="378"/>
        <v>-0.65745774878966756</v>
      </c>
      <c r="P127" s="11">
        <f t="shared" si="379"/>
        <v>62.249497989943649</v>
      </c>
      <c r="Q127" s="62">
        <f t="shared" si="392"/>
        <v>0</v>
      </c>
      <c r="R127" s="3">
        <f t="shared" si="380"/>
        <v>83.301709554803054</v>
      </c>
      <c r="S127" s="3">
        <f t="shared" si="381"/>
        <v>45.129458793407842</v>
      </c>
      <c r="T127" s="61">
        <f t="shared" si="382"/>
        <v>-0.38112497615477992</v>
      </c>
      <c r="U127" s="27"/>
      <c r="V127" s="27"/>
      <c r="W127" s="27"/>
      <c r="AG127" s="128">
        <f t="shared" si="393"/>
        <v>161</v>
      </c>
      <c r="AH127" s="128">
        <f t="shared" si="394"/>
        <v>-0.35506428701015125</v>
      </c>
      <c r="AI127" s="128">
        <f t="shared" si="395"/>
        <v>-0.30239346177950921</v>
      </c>
      <c r="AJ127" s="128">
        <f t="shared" si="383"/>
        <v>-0.65745774878966756</v>
      </c>
      <c r="AK127" s="128">
        <f t="shared" si="396"/>
        <v>-0.38112497615477992</v>
      </c>
      <c r="AM127" s="134">
        <f t="shared" si="384"/>
        <v>6.2500000000000888E-3</v>
      </c>
      <c r="AN127" s="135">
        <f t="shared" si="385"/>
        <v>-5.2720353231060502E-3</v>
      </c>
      <c r="AO127" s="135">
        <f t="shared" si="386"/>
        <v>-6.909995881633213E-3</v>
      </c>
      <c r="AP127" s="135">
        <f t="shared" si="387"/>
        <v>-5.9171597633136397E-3</v>
      </c>
      <c r="AQ127" s="134">
        <f t="shared" si="388"/>
        <v>0</v>
      </c>
    </row>
    <row r="128" spans="1:45">
      <c r="B128" s="147">
        <v>183</v>
      </c>
      <c r="C128" s="18">
        <f>100*(0.297865*B128/100+1.08387)</f>
        <v>162.89629500000001</v>
      </c>
      <c r="D128" s="72">
        <v>30</v>
      </c>
      <c r="E128" s="72">
        <v>88</v>
      </c>
      <c r="F128" s="72">
        <v>160</v>
      </c>
      <c r="G128" s="140">
        <f>(F128-D128)/2*(TAN(ACOS((F128-D128)/2/(E128+2))))</f>
        <v>62.249497989943649</v>
      </c>
      <c r="H128" s="20">
        <f t="shared" si="373"/>
        <v>20</v>
      </c>
      <c r="I128" s="9">
        <f t="shared" si="374"/>
        <v>43.761742692679782</v>
      </c>
      <c r="J128" s="9">
        <f t="shared" si="375"/>
        <v>111.11035954545257</v>
      </c>
      <c r="K128" s="9">
        <f t="shared" si="376"/>
        <v>67.348616852772778</v>
      </c>
      <c r="M128" s="69">
        <f>K128-K$128</f>
        <v>0</v>
      </c>
      <c r="N128" s="69">
        <f t="shared" si="391"/>
        <v>0</v>
      </c>
      <c r="O128" s="9">
        <f>J128-J$128</f>
        <v>0</v>
      </c>
      <c r="P128" s="11">
        <f t="shared" si="379"/>
        <v>62.24949798994362</v>
      </c>
      <c r="Q128" s="62">
        <f t="shared" si="392"/>
        <v>0</v>
      </c>
      <c r="R128" s="3">
        <f t="shared" si="380"/>
        <v>83.057868711361749</v>
      </c>
      <c r="S128" s="3">
        <f t="shared" si="381"/>
        <v>45.338920312168661</v>
      </c>
      <c r="T128" s="61">
        <f t="shared" si="382"/>
        <v>0</v>
      </c>
      <c r="AG128" s="128">
        <f t="shared" si="393"/>
        <v>160</v>
      </c>
      <c r="AH128" s="128">
        <f t="shared" si="394"/>
        <v>0</v>
      </c>
      <c r="AI128" s="128">
        <f t="shared" si="395"/>
        <v>0</v>
      </c>
      <c r="AJ128" s="128">
        <f t="shared" si="383"/>
        <v>0</v>
      </c>
      <c r="AK128" s="128">
        <f t="shared" si="396"/>
        <v>0</v>
      </c>
      <c r="AM128" s="134">
        <f>AG128/AG$128-1</f>
        <v>0</v>
      </c>
      <c r="AN128" s="135">
        <f>K128/K$128-1</f>
        <v>0</v>
      </c>
      <c r="AO128" s="135">
        <f>I128/I$128-1</f>
        <v>0</v>
      </c>
      <c r="AP128" s="135">
        <f>J128/J$128-1</f>
        <v>0</v>
      </c>
      <c r="AQ128" s="134">
        <f>(Q128+60)/(Q$128+60) -1</f>
        <v>0</v>
      </c>
    </row>
    <row r="129" spans="1:45">
      <c r="B129" s="140">
        <f t="shared" ref="B129" si="403">B128-B121</f>
        <v>183</v>
      </c>
      <c r="C129" s="18">
        <f>100*(0.297865*B129/100+1.08387)</f>
        <v>162.89629500000001</v>
      </c>
      <c r="D129" s="21">
        <f>F129-2*(E129+2)*COS(RADIANS(I129))</f>
        <v>30.388180947472762</v>
      </c>
      <c r="E129" s="63">
        <f t="shared" ref="E129" si="404">E128-E121</f>
        <v>87.5</v>
      </c>
      <c r="F129" s="63">
        <f>F128-F121</f>
        <v>159</v>
      </c>
      <c r="G129" s="140">
        <f t="shared" ref="G129:G132" si="405">G$128</f>
        <v>62.249497989943649</v>
      </c>
      <c r="H129" s="20">
        <f t="shared" si="373"/>
        <v>20</v>
      </c>
      <c r="I129" s="9">
        <f t="shared" si="374"/>
        <v>44.069077045892321</v>
      </c>
      <c r="J129" s="9">
        <f t="shared" si="375"/>
        <v>111.77569103973671</v>
      </c>
      <c r="K129" s="9">
        <f t="shared" si="376"/>
        <v>67.7066139938444</v>
      </c>
      <c r="M129" s="69">
        <f t="shared" ref="M129:M133" si="406">K129-K$128</f>
        <v>0.35799714107162117</v>
      </c>
      <c r="N129" s="69">
        <f t="shared" si="391"/>
        <v>0.30733435321253921</v>
      </c>
      <c r="O129" s="9">
        <f t="shared" ref="O129:O133" si="407">J129-J$128</f>
        <v>0.66533149428414617</v>
      </c>
      <c r="P129" s="11">
        <f t="shared" si="379"/>
        <v>62.249497989943656</v>
      </c>
      <c r="Q129" s="62">
        <f t="shared" si="392"/>
        <v>0</v>
      </c>
      <c r="R129" s="3">
        <f t="shared" si="380"/>
        <v>82.810189602420152</v>
      </c>
      <c r="S129" s="3">
        <f t="shared" si="381"/>
        <v>45.548232770425265</v>
      </c>
      <c r="T129" s="61">
        <f t="shared" si="382"/>
        <v>0.38818094747276177</v>
      </c>
      <c r="AG129" s="128">
        <f t="shared" si="393"/>
        <v>159</v>
      </c>
      <c r="AH129" s="128">
        <f t="shared" si="394"/>
        <v>0.35799714107162117</v>
      </c>
      <c r="AI129" s="128">
        <f t="shared" si="395"/>
        <v>0.30733435321253921</v>
      </c>
      <c r="AJ129" s="128">
        <f t="shared" si="383"/>
        <v>0.66533149428414617</v>
      </c>
      <c r="AK129" s="128">
        <f t="shared" si="396"/>
        <v>0.38818094747276177</v>
      </c>
      <c r="AM129" s="134">
        <f t="shared" ref="AM129:AM133" si="408">AG129/AG$128-1</f>
        <v>-6.2499999999999778E-3</v>
      </c>
      <c r="AN129" s="135">
        <f t="shared" ref="AN129:AN133" si="409">K129/K$128-1</f>
        <v>5.3155826771353887E-3</v>
      </c>
      <c r="AO129" s="135">
        <f t="shared" ref="AO129:AO133" si="410">I129/I$128-1</f>
        <v>7.0229002389328166E-3</v>
      </c>
      <c r="AP129" s="135">
        <f t="shared" ref="AP129:AP133" si="411">J129/J$128-1</f>
        <v>5.9880239520957446E-3</v>
      </c>
      <c r="AQ129" s="134">
        <f t="shared" ref="AQ129:AQ133" si="412">(Q129+60)/(Q$128+60) -1</f>
        <v>0</v>
      </c>
    </row>
    <row r="130" spans="1:45">
      <c r="B130" s="140">
        <f t="shared" ref="B130" si="413">B128-2*B121</f>
        <v>183</v>
      </c>
      <c r="C130" s="18">
        <f t="shared" ref="C130:C133" si="414">100*(0.297865*B130/100+1.08387)</f>
        <v>162.89629500000001</v>
      </c>
      <c r="D130" s="21">
        <f>F130-2*(E130+2)*COS(RADIANS(I130))</f>
        <v>30.783648849685974</v>
      </c>
      <c r="E130" s="63">
        <f t="shared" ref="E130" si="415">E128-2*E121</f>
        <v>87</v>
      </c>
      <c r="F130" s="63">
        <f>F128-2*F121</f>
        <v>158</v>
      </c>
      <c r="G130" s="140">
        <f t="shared" si="405"/>
        <v>62.249497989943649</v>
      </c>
      <c r="H130" s="20">
        <f t="shared" si="373"/>
        <v>20</v>
      </c>
      <c r="I130" s="9">
        <f t="shared" si="374"/>
        <v>44.381496055881669</v>
      </c>
      <c r="J130" s="9">
        <f t="shared" si="375"/>
        <v>112.44903857612067</v>
      </c>
      <c r="K130" s="9">
        <f t="shared" si="376"/>
        <v>68.067542520239002</v>
      </c>
      <c r="M130" s="69">
        <f t="shared" si="406"/>
        <v>0.71892566746622322</v>
      </c>
      <c r="N130" s="69">
        <f t="shared" si="391"/>
        <v>0.61975336320188745</v>
      </c>
      <c r="O130" s="9">
        <f t="shared" si="407"/>
        <v>1.3386790306681036</v>
      </c>
      <c r="P130" s="11">
        <f t="shared" si="379"/>
        <v>62.249497989943642</v>
      </c>
      <c r="Q130" s="62">
        <f t="shared" si="392"/>
        <v>0</v>
      </c>
      <c r="R130" s="3">
        <f t="shared" si="380"/>
        <v>82.55860819915334</v>
      </c>
      <c r="S130" s="3">
        <f t="shared" si="381"/>
        <v>45.757313402513759</v>
      </c>
      <c r="T130" s="61">
        <f t="shared" si="382"/>
        <v>0.78364884968597437</v>
      </c>
      <c r="AG130" s="128">
        <f t="shared" si="393"/>
        <v>158</v>
      </c>
      <c r="AH130" s="128">
        <f t="shared" si="394"/>
        <v>0.71892566746622322</v>
      </c>
      <c r="AI130" s="128">
        <f t="shared" si="395"/>
        <v>0.61975336320188745</v>
      </c>
      <c r="AJ130" s="128">
        <f t="shared" si="383"/>
        <v>1.3386790306681036</v>
      </c>
      <c r="AK130" s="128">
        <f t="shared" si="396"/>
        <v>0.78364884968597437</v>
      </c>
      <c r="AM130" s="134">
        <f t="shared" si="408"/>
        <v>-1.2499999999999956E-2</v>
      </c>
      <c r="AN130" s="135">
        <f t="shared" si="409"/>
        <v>1.0674690900302153E-2</v>
      </c>
      <c r="AO130" s="135">
        <f t="shared" si="410"/>
        <v>1.4161990018408455E-2</v>
      </c>
      <c r="AP130" s="135">
        <f t="shared" si="411"/>
        <v>1.2048192771084265E-2</v>
      </c>
      <c r="AQ130" s="134">
        <f t="shared" si="412"/>
        <v>0</v>
      </c>
    </row>
    <row r="131" spans="1:45">
      <c r="B131" s="140">
        <f t="shared" ref="B131" si="416">B128-3*B121</f>
        <v>183</v>
      </c>
      <c r="C131" s="18">
        <f t="shared" si="414"/>
        <v>162.89629500000001</v>
      </c>
      <c r="D131" s="21">
        <f>F131-2*(E131+2)*COS(RADIANS(I131))</f>
        <v>31.186646177760579</v>
      </c>
      <c r="E131" s="63">
        <f t="shared" ref="E131" si="417">E128-3*E121</f>
        <v>86.5</v>
      </c>
      <c r="F131" s="63">
        <f>F128-3*F121</f>
        <v>157</v>
      </c>
      <c r="G131" s="140">
        <f t="shared" si="405"/>
        <v>62.249497989943649</v>
      </c>
      <c r="H131" s="20">
        <f t="shared" si="373"/>
        <v>20</v>
      </c>
      <c r="I131" s="9">
        <f t="shared" si="374"/>
        <v>44.69915002158865</v>
      </c>
      <c r="J131" s="9">
        <f t="shared" si="375"/>
        <v>113.13054790082442</v>
      </c>
      <c r="K131" s="9">
        <f t="shared" si="376"/>
        <v>68.431397879235774</v>
      </c>
      <c r="M131" s="69">
        <f t="shared" si="406"/>
        <v>1.082781026462996</v>
      </c>
      <c r="N131" s="69">
        <f t="shared" si="391"/>
        <v>0.93740732890886846</v>
      </c>
      <c r="O131" s="9">
        <f t="shared" si="407"/>
        <v>2.0201883553718574</v>
      </c>
      <c r="P131" s="11">
        <f t="shared" si="379"/>
        <v>62.249497989943649</v>
      </c>
      <c r="Q131" s="62">
        <f t="shared" si="392"/>
        <v>0</v>
      </c>
      <c r="R131" s="3">
        <f t="shared" si="380"/>
        <v>82.303059831411019</v>
      </c>
      <c r="S131" s="3">
        <f t="shared" si="381"/>
        <v>45.966073978273414</v>
      </c>
      <c r="T131" s="61">
        <f t="shared" si="382"/>
        <v>1.1866461777605792</v>
      </c>
      <c r="AG131" s="128">
        <f t="shared" si="393"/>
        <v>157</v>
      </c>
      <c r="AH131" s="128">
        <f t="shared" si="394"/>
        <v>1.082781026462996</v>
      </c>
      <c r="AI131" s="128">
        <f t="shared" si="395"/>
        <v>0.93740732890886846</v>
      </c>
      <c r="AJ131" s="128">
        <f t="shared" si="383"/>
        <v>2.0201883553718574</v>
      </c>
      <c r="AK131" s="128">
        <f t="shared" si="396"/>
        <v>1.1866461777605792</v>
      </c>
      <c r="AM131" s="134">
        <f t="shared" si="408"/>
        <v>-1.8750000000000044E-2</v>
      </c>
      <c r="AN131" s="135">
        <f t="shared" si="409"/>
        <v>1.6077257070178597E-2</v>
      </c>
      <c r="AO131" s="135">
        <f t="shared" si="410"/>
        <v>2.1420703820957954E-2</v>
      </c>
      <c r="AP131" s="135">
        <f t="shared" si="411"/>
        <v>1.8181818181818077E-2</v>
      </c>
      <c r="AQ131" s="134">
        <f t="shared" si="412"/>
        <v>0</v>
      </c>
    </row>
    <row r="132" spans="1:45">
      <c r="B132" s="140">
        <f t="shared" ref="B132" si="418">B128-4*B121</f>
        <v>183</v>
      </c>
      <c r="C132" s="18">
        <f t="shared" si="414"/>
        <v>162.89629500000001</v>
      </c>
      <c r="D132" s="21">
        <f>F132-2*(E132+2)*COS(RADIANS(I132))</f>
        <v>31.597427679328078</v>
      </c>
      <c r="E132" s="63">
        <f t="shared" ref="E132" si="419">E128-4*E121</f>
        <v>86</v>
      </c>
      <c r="F132" s="63">
        <f>F128-4*F121</f>
        <v>156</v>
      </c>
      <c r="G132" s="140">
        <f t="shared" si="405"/>
        <v>62.249497989943649</v>
      </c>
      <c r="H132" s="20">
        <f t="shared" si="373"/>
        <v>20</v>
      </c>
      <c r="I132" s="9">
        <f t="shared" si="374"/>
        <v>45.022196197796568</v>
      </c>
      <c r="J132" s="9">
        <f t="shared" si="375"/>
        <v>113.82036831485384</v>
      </c>
      <c r="K132" s="9">
        <f t="shared" si="376"/>
        <v>68.798172117057277</v>
      </c>
      <c r="M132" s="69">
        <f t="shared" si="406"/>
        <v>1.4495552642844984</v>
      </c>
      <c r="N132" s="69">
        <f t="shared" si="391"/>
        <v>1.2604535051167858</v>
      </c>
      <c r="O132" s="9">
        <f t="shared" si="407"/>
        <v>2.71000876940127</v>
      </c>
      <c r="P132" s="11">
        <f t="shared" si="379"/>
        <v>62.249497989943649</v>
      </c>
      <c r="Q132" s="62">
        <f t="shared" si="392"/>
        <v>0</v>
      </c>
      <c r="R132" s="3">
        <f t="shared" si="380"/>
        <v>82.043479230754585</v>
      </c>
      <c r="S132" s="3">
        <f t="shared" si="381"/>
        <v>46.174420418274536</v>
      </c>
      <c r="T132" s="61">
        <f t="shared" si="382"/>
        <v>1.5974276793280779</v>
      </c>
      <c r="AG132" s="128">
        <f t="shared" si="393"/>
        <v>156</v>
      </c>
      <c r="AH132" s="128">
        <f t="shared" si="394"/>
        <v>1.4495552642844984</v>
      </c>
      <c r="AI132" s="128">
        <f t="shared" si="395"/>
        <v>1.2604535051167858</v>
      </c>
      <c r="AJ132" s="128">
        <f t="shared" si="383"/>
        <v>2.71000876940127</v>
      </c>
      <c r="AK132" s="128">
        <f t="shared" si="396"/>
        <v>1.5974276793280779</v>
      </c>
      <c r="AM132" s="134">
        <f t="shared" si="408"/>
        <v>-2.5000000000000022E-2</v>
      </c>
      <c r="AN132" s="135">
        <f t="shared" si="409"/>
        <v>2.1523163088164043E-2</v>
      </c>
      <c r="AO132" s="135">
        <f t="shared" si="410"/>
        <v>2.8802635077136207E-2</v>
      </c>
      <c r="AP132" s="135">
        <f t="shared" si="411"/>
        <v>2.4390243902438824E-2</v>
      </c>
      <c r="AQ132" s="134">
        <f t="shared" si="412"/>
        <v>0</v>
      </c>
    </row>
    <row r="133" spans="1:45">
      <c r="B133" s="140">
        <f t="shared" ref="B133" si="420">B128-5*B121</f>
        <v>183</v>
      </c>
      <c r="C133" s="18">
        <f t="shared" si="414"/>
        <v>162.89629500000001</v>
      </c>
      <c r="D133" s="21">
        <f>F133-2*(E133+2)*COS(RADIANS(I133))</f>
        <v>32.016261237511529</v>
      </c>
      <c r="E133" s="63">
        <f t="shared" ref="E133" si="421">E128-5*E121</f>
        <v>85.5</v>
      </c>
      <c r="F133" s="63">
        <f>F128-5*F121</f>
        <v>155</v>
      </c>
      <c r="G133" s="140">
        <f>G$128</f>
        <v>62.249497989943649</v>
      </c>
      <c r="H133" s="20">
        <f t="shared" si="373"/>
        <v>20</v>
      </c>
      <c r="I133" s="9">
        <f t="shared" si="374"/>
        <v>45.350799253515923</v>
      </c>
      <c r="J133" s="9">
        <f t="shared" si="375"/>
        <v>114.51865278304312</v>
      </c>
      <c r="K133" s="9">
        <f t="shared" si="376"/>
        <v>69.167853529527207</v>
      </c>
      <c r="M133" s="69">
        <f t="shared" si="406"/>
        <v>1.8192366767544286</v>
      </c>
      <c r="N133" s="69">
        <f t="shared" si="391"/>
        <v>1.5890565608361413</v>
      </c>
      <c r="O133" s="9">
        <f t="shared" si="407"/>
        <v>3.4082932375905557</v>
      </c>
      <c r="P133" s="11">
        <f t="shared" si="379"/>
        <v>62.249497989943649</v>
      </c>
      <c r="Q133" s="62">
        <f t="shared" si="392"/>
        <v>0</v>
      </c>
      <c r="R133" s="3">
        <f t="shared" si="380"/>
        <v>81.779800579290011</v>
      </c>
      <c r="S133" s="3">
        <f t="shared" si="381"/>
        <v>46.382252375669005</v>
      </c>
      <c r="T133" s="61">
        <f t="shared" si="382"/>
        <v>2.0162612375115287</v>
      </c>
      <c r="AG133" s="128">
        <f t="shared" si="393"/>
        <v>155</v>
      </c>
      <c r="AH133" s="128">
        <f t="shared" si="394"/>
        <v>1.8192366767544286</v>
      </c>
      <c r="AI133" s="128">
        <f t="shared" si="395"/>
        <v>1.5890565608361413</v>
      </c>
      <c r="AJ133" s="128">
        <f t="shared" si="383"/>
        <v>3.4082932375905557</v>
      </c>
      <c r="AK133" s="128">
        <f t="shared" si="396"/>
        <v>2.0162612375115287</v>
      </c>
      <c r="AM133" s="134">
        <f t="shared" si="408"/>
        <v>-3.125E-2</v>
      </c>
      <c r="AN133" s="135">
        <f t="shared" si="409"/>
        <v>2.7012235169303622E-2</v>
      </c>
      <c r="AO133" s="135">
        <f t="shared" si="410"/>
        <v>3.6311546640073633E-2</v>
      </c>
      <c r="AP133" s="135">
        <f t="shared" si="411"/>
        <v>3.0674846625766694E-2</v>
      </c>
      <c r="AQ133" s="134">
        <f t="shared" si="412"/>
        <v>0</v>
      </c>
    </row>
    <row r="134" spans="1:45" s="12" customFormat="1">
      <c r="B134" s="5"/>
      <c r="C134" s="19" t="s">
        <v>24</v>
      </c>
      <c r="D134" s="13"/>
      <c r="E134" s="13"/>
      <c r="F134" s="13"/>
      <c r="G134" s="13"/>
      <c r="H134" s="5"/>
      <c r="I134" s="13"/>
      <c r="J134" s="13"/>
      <c r="K134" s="13"/>
      <c r="M134" s="104"/>
      <c r="N134" s="104"/>
      <c r="O134" s="13"/>
      <c r="P134" s="13"/>
      <c r="Q134" s="13"/>
      <c r="R134" s="13"/>
      <c r="S134" s="13"/>
      <c r="T134" s="13"/>
      <c r="AG134" s="131"/>
      <c r="AH134" s="132"/>
      <c r="AI134" s="132"/>
      <c r="AJ134" s="132"/>
      <c r="AK134" s="131"/>
    </row>
    <row r="135" spans="1:45" ht="18.75">
      <c r="A135" s="15" t="s">
        <v>53</v>
      </c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AG135" s="127"/>
      <c r="AH135" s="126"/>
      <c r="AI135" s="126"/>
      <c r="AJ135" s="126"/>
      <c r="AK135" s="127"/>
      <c r="AM135" s="59"/>
      <c r="AN135" s="59"/>
      <c r="AO135" s="59"/>
      <c r="AP135" s="59"/>
      <c r="AQ135" s="59"/>
    </row>
    <row r="136" spans="1:45" ht="30" customHeight="1">
      <c r="A136" s="20"/>
      <c r="B136" s="20"/>
      <c r="C136" s="20"/>
      <c r="D136" s="20"/>
      <c r="E136" s="20"/>
      <c r="F136" s="20"/>
      <c r="M136" s="236" t="s">
        <v>14</v>
      </c>
      <c r="N136" s="237"/>
      <c r="V136" s="5"/>
      <c r="AG136" s="127"/>
      <c r="AH136" s="126"/>
      <c r="AI136" s="126"/>
      <c r="AJ136" s="126"/>
      <c r="AK136" s="127"/>
      <c r="AM136" s="59"/>
      <c r="AN136" s="59"/>
      <c r="AO136" s="59"/>
      <c r="AP136" s="59"/>
      <c r="AQ136" s="59"/>
    </row>
    <row r="137" spans="1:45" s="27" customFormat="1" ht="136.5">
      <c r="B137" s="28" t="s">
        <v>12</v>
      </c>
      <c r="C137" s="28" t="s">
        <v>8</v>
      </c>
      <c r="D137" s="29" t="s">
        <v>42</v>
      </c>
      <c r="E137" s="65" t="s">
        <v>3</v>
      </c>
      <c r="F137" s="28" t="s">
        <v>4</v>
      </c>
      <c r="G137" s="28" t="s">
        <v>41</v>
      </c>
      <c r="H137" s="28" t="s">
        <v>1</v>
      </c>
      <c r="I137" s="55" t="s">
        <v>80</v>
      </c>
      <c r="J137" s="28" t="s">
        <v>6</v>
      </c>
      <c r="K137" s="28" t="s">
        <v>5</v>
      </c>
      <c r="L137" s="31" t="s">
        <v>49</v>
      </c>
      <c r="M137" s="31" t="s">
        <v>112</v>
      </c>
      <c r="N137" s="28" t="s">
        <v>18</v>
      </c>
      <c r="O137" s="28" t="s">
        <v>19</v>
      </c>
      <c r="P137" s="32" t="s">
        <v>25</v>
      </c>
      <c r="Q137" s="28" t="s">
        <v>27</v>
      </c>
      <c r="R137" s="33" t="s">
        <v>26</v>
      </c>
      <c r="S137" s="28" t="s">
        <v>28</v>
      </c>
      <c r="T137" s="28" t="s">
        <v>33</v>
      </c>
      <c r="U137" s="28" t="s">
        <v>34</v>
      </c>
      <c r="V137" s="28" t="s">
        <v>30</v>
      </c>
      <c r="W137" s="28" t="s">
        <v>43</v>
      </c>
      <c r="X137" s="29" t="s">
        <v>29</v>
      </c>
      <c r="Y137" s="28" t="s">
        <v>32</v>
      </c>
      <c r="Z137" s="30" t="s">
        <v>31</v>
      </c>
      <c r="AA137" s="30" t="s">
        <v>35</v>
      </c>
      <c r="AB137" s="28" t="s">
        <v>36</v>
      </c>
      <c r="AC137" s="30" t="s">
        <v>37</v>
      </c>
      <c r="AD137" s="30" t="s">
        <v>48</v>
      </c>
      <c r="AE137" s="34" t="s">
        <v>38</v>
      </c>
      <c r="AG137" s="133" t="str">
        <f t="shared" ref="AG137:AG148" si="422">F137</f>
        <v>span (cm)</v>
      </c>
      <c r="AH137" s="28" t="s">
        <v>113</v>
      </c>
      <c r="AI137" s="28" t="s">
        <v>114</v>
      </c>
      <c r="AJ137" s="28" t="s">
        <v>115</v>
      </c>
      <c r="AK137" s="28" t="str">
        <f>AK122</f>
        <v>change in distance between handles (cm / cm)</v>
      </c>
      <c r="AM137" s="28" t="str">
        <f>AG137</f>
        <v>span (cm)</v>
      </c>
      <c r="AN137" s="28" t="str">
        <f t="shared" ref="AN137" si="423">AH137</f>
        <v>Change in catch angle (deg)</v>
      </c>
      <c r="AO137" s="28" t="str">
        <f t="shared" ref="AO137" si="424">AI137</f>
        <v>Change in finish angle (deg)</v>
      </c>
      <c r="AP137" s="28" t="str">
        <f t="shared" ref="AP137" si="425">AJ137</f>
        <v>Change in sweep angle (deg)</v>
      </c>
      <c r="AQ137" s="28" t="str">
        <f t="shared" ref="AQ137" si="426">AK137</f>
        <v>change in distance between handles (cm / cm)</v>
      </c>
      <c r="AS137" s="136" t="s">
        <v>170</v>
      </c>
    </row>
    <row r="138" spans="1:45">
      <c r="B138" s="20">
        <f>B123</f>
        <v>183</v>
      </c>
      <c r="C138" s="18">
        <f t="shared" ref="C138:C142" si="427">100*(0.297865*B138/100+1.08387)</f>
        <v>162.89629500000001</v>
      </c>
      <c r="D138" s="63">
        <f>D123</f>
        <v>28.160678165959865</v>
      </c>
      <c r="E138" s="63">
        <f t="shared" ref="E138:F138" si="428">E123</f>
        <v>90.5</v>
      </c>
      <c r="F138" s="63">
        <f t="shared" si="428"/>
        <v>165</v>
      </c>
      <c r="G138" s="20">
        <f t="shared" ref="G138:G142" si="429">(E138+2)*2 -F138</f>
        <v>20</v>
      </c>
      <c r="H138" s="3">
        <f>DEGREES(ACOS((F138-D138)/2/(E138+2)))</f>
        <v>42.296516659983965</v>
      </c>
      <c r="I138" s="69">
        <f t="shared" ref="I138:I142" si="430">H138-H$143</f>
        <v>-1.4652260326958313</v>
      </c>
      <c r="J138" s="3"/>
      <c r="K138" s="21"/>
      <c r="L138" s="11">
        <f t="shared" ref="L138:L148" si="431">((F138-D138)/2)*TAN(RADIANS(H138))</f>
        <v>62.24949798994362</v>
      </c>
      <c r="M138" s="83">
        <f t="shared" ref="M138:M142" si="432">L138-L$143</f>
        <v>0</v>
      </c>
      <c r="N138" s="21"/>
      <c r="O138" s="21"/>
      <c r="P138" s="23">
        <f>P$143</f>
        <v>1</v>
      </c>
      <c r="Q138" s="20">
        <f t="shared" ref="Q138:Q148" si="433">B138 *P138</f>
        <v>183</v>
      </c>
      <c r="R138" s="23">
        <f>R$143</f>
        <v>0.3</v>
      </c>
      <c r="S138" s="3">
        <f>Q138*R138</f>
        <v>54.9</v>
      </c>
      <c r="T138" s="3">
        <f>S138/2</f>
        <v>27.45</v>
      </c>
      <c r="U138" s="49">
        <f t="shared" ref="U138:U148" si="434">F138/2 -S138/2</f>
        <v>55.05</v>
      </c>
      <c r="V138" s="3"/>
      <c r="W138" s="3">
        <f t="shared" ref="W138:W142" si="435">COS(RADIANS(17))*((Q138-S138)/2 -8)</f>
        <v>53.600881571728131</v>
      </c>
      <c r="X138" s="61">
        <f t="shared" ref="X138:X141" si="436">X$143- M138</f>
        <v>32.53024225482509</v>
      </c>
      <c r="Y138" s="3">
        <f>SQRT(X138*X138+U138*U138)</f>
        <v>63.943093146622232</v>
      </c>
      <c r="Z138" s="51">
        <f>DEGREES(ASIN(X138/Y138))</f>
        <v>30.579764403343699</v>
      </c>
      <c r="AA138" s="51">
        <f t="shared" ref="AA138:AA148" si="437">DEGREES(ACOS(((E138+2)*(E138+2)+(Y138*Y138)-(W138*W138))/(2*(E138+2)*(Y138))))</f>
        <v>34.303370620205889</v>
      </c>
      <c r="AB138" s="4">
        <f t="shared" ref="AB138:AB148" si="438">Z138+AA138</f>
        <v>64.883135023549585</v>
      </c>
      <c r="AC138" s="70">
        <f t="shared" ref="AC138:AC142" si="439">AB138-AB$143</f>
        <v>-2.4654818292231795</v>
      </c>
      <c r="AD138" s="51">
        <f>AB138+H138</f>
        <v>107.17965168353355</v>
      </c>
      <c r="AE138" s="71">
        <f t="shared" ref="AE138:AE142" si="440">H138+AB138-J$143</f>
        <v>-3.9307078619190179</v>
      </c>
      <c r="AG138" s="128">
        <f t="shared" si="422"/>
        <v>165</v>
      </c>
      <c r="AH138" s="128">
        <f t="shared" ref="AH138:AH148" si="441">AC138</f>
        <v>-2.4654818292231795</v>
      </c>
      <c r="AI138" s="128">
        <f t="shared" ref="AI138:AI148" si="442">I138</f>
        <v>-1.4652260326958313</v>
      </c>
      <c r="AJ138" s="128">
        <f t="shared" ref="AJ138:AJ148" si="443">AE138</f>
        <v>-3.9307078619190179</v>
      </c>
      <c r="AK138" s="128">
        <f>AK123</f>
        <v>-1.8393218340401347</v>
      </c>
      <c r="AM138" s="134">
        <f t="shared" ref="AM138:AM142" si="444">AG138/AG$143-1</f>
        <v>3.125E-2</v>
      </c>
      <c r="AN138" s="135">
        <f t="shared" ref="AN138:AN142" si="445">AB138/AB$143-1</f>
        <v>-3.6607757433427923E-2</v>
      </c>
      <c r="AO138" s="135">
        <f t="shared" ref="AO138:AO142" si="446">H138/H$143-1</f>
        <v>-3.3481894059509743E-2</v>
      </c>
      <c r="AP138" s="134">
        <f t="shared" ref="AP138:AP142" si="447">AD138/AD$143-1</f>
        <v>-3.5376610047878065E-2</v>
      </c>
      <c r="AQ138" s="134">
        <f t="shared" ref="AQ138:AQ142" si="448">(Q138+60)/(Q$143+60) -1</f>
        <v>0</v>
      </c>
      <c r="AS138" s="61">
        <f>L138+X138</f>
        <v>94.779740244768703</v>
      </c>
    </row>
    <row r="139" spans="1:45">
      <c r="B139" s="20">
        <f t="shared" ref="B139:B148" si="449">B124</f>
        <v>183</v>
      </c>
      <c r="C139" s="18">
        <f t="shared" si="427"/>
        <v>162.89629500000001</v>
      </c>
      <c r="D139" s="63">
        <f t="shared" ref="D139:F139" si="450">D124</f>
        <v>28.515683564480412</v>
      </c>
      <c r="E139" s="63">
        <f t="shared" si="450"/>
        <v>90</v>
      </c>
      <c r="F139" s="63">
        <f t="shared" si="450"/>
        <v>164</v>
      </c>
      <c r="G139" s="20">
        <f t="shared" si="429"/>
        <v>20</v>
      </c>
      <c r="H139" s="3">
        <f>DEGREES(ACOS((F139-D139)/2/(E139+2)))</f>
        <v>42.580466568656313</v>
      </c>
      <c r="I139" s="69">
        <f t="shared" si="430"/>
        <v>-1.1812761240234835</v>
      </c>
      <c r="J139" s="3"/>
      <c r="K139" s="21"/>
      <c r="L139" s="11">
        <f t="shared" si="431"/>
        <v>62.249497989943663</v>
      </c>
      <c r="M139" s="83">
        <f t="shared" si="432"/>
        <v>0</v>
      </c>
      <c r="N139" s="21"/>
      <c r="O139" s="21"/>
      <c r="P139" s="23">
        <f t="shared" ref="P139:P142" si="451">P$143</f>
        <v>1</v>
      </c>
      <c r="Q139" s="20">
        <f t="shared" si="433"/>
        <v>183</v>
      </c>
      <c r="R139" s="23">
        <f t="shared" ref="R139:R142" si="452">R$143</f>
        <v>0.3</v>
      </c>
      <c r="S139" s="3">
        <f t="shared" ref="S139:S142" si="453">Q139*R139</f>
        <v>54.9</v>
      </c>
      <c r="T139" s="3">
        <f t="shared" ref="T139:T142" si="454">S139/2</f>
        <v>27.45</v>
      </c>
      <c r="U139" s="49">
        <f t="shared" si="434"/>
        <v>54.55</v>
      </c>
      <c r="V139" s="3"/>
      <c r="W139" s="3">
        <f t="shared" si="435"/>
        <v>53.600881571728131</v>
      </c>
      <c r="X139" s="61">
        <f t="shared" si="436"/>
        <v>32.53024225482509</v>
      </c>
      <c r="Y139" s="3">
        <f>SQRT(X139*X139+U139*U139)</f>
        <v>63.513141641376926</v>
      </c>
      <c r="Z139" s="51">
        <f>DEGREES(ASIN(X139/Y139))</f>
        <v>30.809233316728566</v>
      </c>
      <c r="AA139" s="51">
        <f t="shared" si="437"/>
        <v>34.553790277031815</v>
      </c>
      <c r="AB139" s="4">
        <f t="shared" si="438"/>
        <v>65.363023593760374</v>
      </c>
      <c r="AC139" s="70">
        <f t="shared" si="439"/>
        <v>-1.9855932590123899</v>
      </c>
      <c r="AD139" s="51">
        <f t="shared" ref="AD139:AD148" si="455">AB139+H139</f>
        <v>107.94349016241668</v>
      </c>
      <c r="AE139" s="71">
        <f t="shared" si="440"/>
        <v>-3.1668693830358876</v>
      </c>
      <c r="AG139" s="128">
        <f t="shared" si="422"/>
        <v>164</v>
      </c>
      <c r="AH139" s="128">
        <f t="shared" si="441"/>
        <v>-1.9855932590123899</v>
      </c>
      <c r="AI139" s="128">
        <f t="shared" si="442"/>
        <v>-1.1812761240234835</v>
      </c>
      <c r="AJ139" s="128">
        <f t="shared" si="443"/>
        <v>-3.1668693830358876</v>
      </c>
      <c r="AK139" s="128">
        <f t="shared" ref="AK139:AK148" si="456">AK124</f>
        <v>-1.4843164355195881</v>
      </c>
      <c r="AM139" s="134">
        <f t="shared" si="444"/>
        <v>2.4999999999999911E-2</v>
      </c>
      <c r="AN139" s="135">
        <f t="shared" si="445"/>
        <v>-2.9482316813617571E-2</v>
      </c>
      <c r="AO139" s="135">
        <f t="shared" si="446"/>
        <v>-2.6993351985982073E-2</v>
      </c>
      <c r="AP139" s="134">
        <f t="shared" si="447"/>
        <v>-2.8502017237559074E-2</v>
      </c>
      <c r="AQ139" s="134">
        <f t="shared" si="448"/>
        <v>0</v>
      </c>
      <c r="AS139" s="61">
        <f t="shared" ref="AS139:AS148" si="457">L139+X139</f>
        <v>94.77974024476876</v>
      </c>
    </row>
    <row r="140" spans="1:45">
      <c r="B140" s="20">
        <f t="shared" si="449"/>
        <v>183</v>
      </c>
      <c r="C140" s="18">
        <f t="shared" si="427"/>
        <v>162.89629500000001</v>
      </c>
      <c r="D140" s="63">
        <f t="shared" ref="D140:F140" si="458">D125</f>
        <v>28.876922194575286</v>
      </c>
      <c r="E140" s="63">
        <f t="shared" si="458"/>
        <v>89.5</v>
      </c>
      <c r="F140" s="63">
        <f t="shared" si="458"/>
        <v>163</v>
      </c>
      <c r="G140" s="20">
        <f t="shared" si="429"/>
        <v>20</v>
      </c>
      <c r="H140" s="3">
        <f>DEGREES(ACOS((F140-D140)/2/(E140+2)))</f>
        <v>42.868840280541534</v>
      </c>
      <c r="I140" s="69">
        <f t="shared" si="430"/>
        <v>-0.89290241213826249</v>
      </c>
      <c r="J140" s="3"/>
      <c r="K140" s="21"/>
      <c r="L140" s="11">
        <f t="shared" si="431"/>
        <v>62.249497989943613</v>
      </c>
      <c r="M140" s="83">
        <f t="shared" si="432"/>
        <v>0</v>
      </c>
      <c r="N140" s="21"/>
      <c r="O140" s="21"/>
      <c r="P140" s="23">
        <f t="shared" si="451"/>
        <v>1</v>
      </c>
      <c r="Q140" s="20">
        <f t="shared" si="433"/>
        <v>183</v>
      </c>
      <c r="R140" s="23">
        <f t="shared" si="452"/>
        <v>0.3</v>
      </c>
      <c r="S140" s="3">
        <f t="shared" si="453"/>
        <v>54.9</v>
      </c>
      <c r="T140" s="3">
        <f t="shared" si="454"/>
        <v>27.45</v>
      </c>
      <c r="U140" s="49">
        <f t="shared" si="434"/>
        <v>54.05</v>
      </c>
      <c r="V140" s="3"/>
      <c r="W140" s="3">
        <f t="shared" si="435"/>
        <v>53.600881571728131</v>
      </c>
      <c r="X140" s="61">
        <f t="shared" si="436"/>
        <v>32.53024225482509</v>
      </c>
      <c r="Y140" s="3">
        <f t="shared" ref="Y140:Y142" si="459">SQRT(X140*X140+U140*U140)</f>
        <v>63.084222759400056</v>
      </c>
      <c r="Z140" s="51">
        <f t="shared" ref="Z140:Z142" si="460">DEGREES(ASIN(X140/Y140))</f>
        <v>31.041826388916334</v>
      </c>
      <c r="AA140" s="51">
        <f t="shared" si="437"/>
        <v>34.807571601844643</v>
      </c>
      <c r="AB140" s="4">
        <f t="shared" si="438"/>
        <v>65.849397990760977</v>
      </c>
      <c r="AC140" s="70">
        <f t="shared" si="439"/>
        <v>-1.4992188620117872</v>
      </c>
      <c r="AD140" s="51">
        <f t="shared" si="455"/>
        <v>108.71823827130251</v>
      </c>
      <c r="AE140" s="71">
        <f t="shared" si="440"/>
        <v>-2.3921212741500568</v>
      </c>
      <c r="AG140" s="128">
        <f t="shared" si="422"/>
        <v>163</v>
      </c>
      <c r="AH140" s="128">
        <f t="shared" si="441"/>
        <v>-1.4992188620117872</v>
      </c>
      <c r="AI140" s="128">
        <f t="shared" si="442"/>
        <v>-0.89290241213826249</v>
      </c>
      <c r="AJ140" s="128">
        <f t="shared" si="443"/>
        <v>-2.3921212741500568</v>
      </c>
      <c r="AK140" s="128">
        <f t="shared" si="456"/>
        <v>-1.1230778054247139</v>
      </c>
      <c r="AM140" s="134">
        <f t="shared" si="444"/>
        <v>1.8750000000000044E-2</v>
      </c>
      <c r="AN140" s="135">
        <f t="shared" si="445"/>
        <v>-2.22605738925441E-2</v>
      </c>
      <c r="AO140" s="135">
        <f t="shared" si="446"/>
        <v>-2.040372154300929E-2</v>
      </c>
      <c r="AP140" s="134">
        <f t="shared" si="447"/>
        <v>-2.1529237093067644E-2</v>
      </c>
      <c r="AQ140" s="134">
        <f t="shared" si="448"/>
        <v>0</v>
      </c>
      <c r="AS140" s="61">
        <f t="shared" si="457"/>
        <v>94.779740244768703</v>
      </c>
    </row>
    <row r="141" spans="1:45">
      <c r="B141" s="20">
        <f t="shared" si="449"/>
        <v>183</v>
      </c>
      <c r="C141" s="18">
        <f t="shared" si="427"/>
        <v>162.89629500000001</v>
      </c>
      <c r="D141" s="63">
        <f t="shared" ref="D141:F141" si="461">D126</f>
        <v>29.244585797791274</v>
      </c>
      <c r="E141" s="63">
        <f t="shared" si="461"/>
        <v>89</v>
      </c>
      <c r="F141" s="63">
        <f t="shared" si="461"/>
        <v>162</v>
      </c>
      <c r="G141" s="20">
        <f t="shared" si="429"/>
        <v>20</v>
      </c>
      <c r="H141" s="3">
        <f>DEGREES(ACOS((F141-D141)/2/(E141+2)))</f>
        <v>43.161759039251329</v>
      </c>
      <c r="I141" s="69">
        <f t="shared" si="430"/>
        <v>-0.59998365342846682</v>
      </c>
      <c r="J141" s="3"/>
      <c r="K141" s="21"/>
      <c r="L141" s="11">
        <f t="shared" si="431"/>
        <v>62.249497989943656</v>
      </c>
      <c r="M141" s="83">
        <f t="shared" si="432"/>
        <v>0</v>
      </c>
      <c r="N141" s="21"/>
      <c r="O141" s="21"/>
      <c r="P141" s="23">
        <f t="shared" si="451"/>
        <v>1</v>
      </c>
      <c r="Q141" s="20">
        <f t="shared" si="433"/>
        <v>183</v>
      </c>
      <c r="R141" s="23">
        <f t="shared" si="452"/>
        <v>0.3</v>
      </c>
      <c r="S141" s="3">
        <f t="shared" si="453"/>
        <v>54.9</v>
      </c>
      <c r="T141" s="3">
        <f t="shared" si="454"/>
        <v>27.45</v>
      </c>
      <c r="U141" s="49">
        <f t="shared" si="434"/>
        <v>53.55</v>
      </c>
      <c r="V141" s="3"/>
      <c r="W141" s="3">
        <f t="shared" si="435"/>
        <v>53.600881571728131</v>
      </c>
      <c r="X141" s="61">
        <f t="shared" si="436"/>
        <v>32.53024225482509</v>
      </c>
      <c r="Y141" s="3">
        <f t="shared" si="459"/>
        <v>62.656357707399557</v>
      </c>
      <c r="Z141" s="51">
        <f t="shared" si="460"/>
        <v>31.277600034184953</v>
      </c>
      <c r="AA141" s="51">
        <f t="shared" si="437"/>
        <v>35.064775078229047</v>
      </c>
      <c r="AB141" s="4">
        <f t="shared" si="438"/>
        <v>66.342375112414004</v>
      </c>
      <c r="AC141" s="70">
        <f t="shared" si="439"/>
        <v>-1.0062417403587602</v>
      </c>
      <c r="AD141" s="51">
        <f t="shared" si="455"/>
        <v>109.50413415166534</v>
      </c>
      <c r="AE141" s="71">
        <f t="shared" si="440"/>
        <v>-1.6062253937872271</v>
      </c>
      <c r="AG141" s="128">
        <f t="shared" si="422"/>
        <v>162</v>
      </c>
      <c r="AH141" s="128">
        <f t="shared" si="441"/>
        <v>-1.0062417403587602</v>
      </c>
      <c r="AI141" s="128">
        <f t="shared" si="442"/>
        <v>-0.59998365342846682</v>
      </c>
      <c r="AJ141" s="128">
        <f t="shared" si="443"/>
        <v>-1.6062253937872271</v>
      </c>
      <c r="AK141" s="128">
        <f t="shared" si="456"/>
        <v>-0.75541420220872624</v>
      </c>
      <c r="AM141" s="134">
        <f t="shared" si="444"/>
        <v>1.2499999999999956E-2</v>
      </c>
      <c r="AN141" s="135">
        <f t="shared" si="445"/>
        <v>-1.4940792957314208E-2</v>
      </c>
      <c r="AO141" s="135">
        <f t="shared" si="446"/>
        <v>-1.3710232191663341E-2</v>
      </c>
      <c r="AP141" s="134">
        <f t="shared" si="447"/>
        <v>-1.4456126326637841E-2</v>
      </c>
      <c r="AQ141" s="134">
        <f t="shared" si="448"/>
        <v>0</v>
      </c>
      <c r="AS141" s="61">
        <f t="shared" si="457"/>
        <v>94.779740244768746</v>
      </c>
    </row>
    <row r="142" spans="1:45">
      <c r="B142" s="20">
        <f t="shared" si="449"/>
        <v>183</v>
      </c>
      <c r="C142" s="18">
        <f t="shared" si="427"/>
        <v>162.89629500000001</v>
      </c>
      <c r="D142" s="63">
        <f t="shared" ref="D142:F142" si="462">D127</f>
        <v>29.61887502384522</v>
      </c>
      <c r="E142" s="63">
        <f t="shared" si="462"/>
        <v>88.5</v>
      </c>
      <c r="F142" s="63">
        <f t="shared" si="462"/>
        <v>161</v>
      </c>
      <c r="G142" s="20">
        <f t="shared" si="429"/>
        <v>20</v>
      </c>
      <c r="H142" s="3">
        <f t="shared" ref="H142" si="463">DEGREES(ACOS((F142-D142)/2/(E142+2)))</f>
        <v>43.45934923090028</v>
      </c>
      <c r="I142" s="69">
        <f t="shared" si="430"/>
        <v>-0.30239346177951631</v>
      </c>
      <c r="J142" s="3"/>
      <c r="K142" s="21"/>
      <c r="L142" s="11">
        <f t="shared" si="431"/>
        <v>62.249497989943663</v>
      </c>
      <c r="M142" s="83">
        <f t="shared" si="432"/>
        <v>0</v>
      </c>
      <c r="N142" s="21"/>
      <c r="O142" s="21"/>
      <c r="P142" s="23">
        <f t="shared" si="451"/>
        <v>1</v>
      </c>
      <c r="Q142" s="20">
        <f t="shared" si="433"/>
        <v>183</v>
      </c>
      <c r="R142" s="23">
        <f t="shared" si="452"/>
        <v>0.3</v>
      </c>
      <c r="S142" s="3">
        <f t="shared" si="453"/>
        <v>54.9</v>
      </c>
      <c r="T142" s="3">
        <f t="shared" si="454"/>
        <v>27.45</v>
      </c>
      <c r="U142" s="49">
        <f t="shared" si="434"/>
        <v>53.05</v>
      </c>
      <c r="V142" s="3"/>
      <c r="W142" s="3">
        <f t="shared" si="435"/>
        <v>53.600881571728131</v>
      </c>
      <c r="X142" s="3">
        <f>X$143- M142</f>
        <v>32.53024225482509</v>
      </c>
      <c r="Y142" s="3">
        <f t="shared" si="459"/>
        <v>62.229568222490563</v>
      </c>
      <c r="Z142" s="51">
        <f t="shared" si="460"/>
        <v>31.516611789283132</v>
      </c>
      <c r="AA142" s="51">
        <f t="shared" si="437"/>
        <v>35.325462405914564</v>
      </c>
      <c r="AB142" s="4">
        <f t="shared" si="438"/>
        <v>66.842074195197696</v>
      </c>
      <c r="AC142" s="70">
        <f t="shared" si="439"/>
        <v>-0.50654265757506778</v>
      </c>
      <c r="AD142" s="51">
        <f t="shared" si="455"/>
        <v>110.30142342609798</v>
      </c>
      <c r="AE142" s="71">
        <f t="shared" si="440"/>
        <v>-0.80893611935458409</v>
      </c>
      <c r="AG142" s="128">
        <f t="shared" si="422"/>
        <v>161</v>
      </c>
      <c r="AH142" s="128">
        <f t="shared" si="441"/>
        <v>-0.50654265757506778</v>
      </c>
      <c r="AI142" s="128">
        <f t="shared" si="442"/>
        <v>-0.30239346177951631</v>
      </c>
      <c r="AJ142" s="128">
        <f t="shared" si="443"/>
        <v>-0.80893611935458409</v>
      </c>
      <c r="AK142" s="128">
        <f t="shared" si="456"/>
        <v>-0.38112497615477992</v>
      </c>
      <c r="AM142" s="134">
        <f t="shared" si="444"/>
        <v>6.2500000000000888E-3</v>
      </c>
      <c r="AN142" s="135">
        <f t="shared" si="445"/>
        <v>-7.5212035710012781E-3</v>
      </c>
      <c r="AO142" s="135">
        <f t="shared" si="446"/>
        <v>-6.909995881633324E-3</v>
      </c>
      <c r="AP142" s="134">
        <f t="shared" si="447"/>
        <v>-7.280474319981467E-3</v>
      </c>
      <c r="AQ142" s="134">
        <f t="shared" si="448"/>
        <v>0</v>
      </c>
      <c r="AS142" s="61">
        <f t="shared" si="457"/>
        <v>94.77974024476876</v>
      </c>
    </row>
    <row r="143" spans="1:45" s="15" customFormat="1">
      <c r="B143" s="38">
        <f t="shared" si="449"/>
        <v>183</v>
      </c>
      <c r="C143" s="37">
        <f>100*(0.297865*B143/100+1.08387)</f>
        <v>162.89629500000001</v>
      </c>
      <c r="D143" s="40">
        <f t="shared" ref="D143:F143" si="464">D128</f>
        <v>30</v>
      </c>
      <c r="E143" s="40">
        <f t="shared" si="464"/>
        <v>88</v>
      </c>
      <c r="F143" s="40">
        <f t="shared" si="464"/>
        <v>160</v>
      </c>
      <c r="G143" s="38">
        <f>(E143+2)*2 -F143</f>
        <v>20</v>
      </c>
      <c r="H143" s="39">
        <f>DEGREES(ACOS((F143-D143)/2/(E143+2)))</f>
        <v>43.761742692679796</v>
      </c>
      <c r="I143" s="70">
        <f>H143-H$143</f>
        <v>0</v>
      </c>
      <c r="J143" s="52">
        <f>DEGREES(C143/(E143-6+2))</f>
        <v>111.11035954545257</v>
      </c>
      <c r="K143" s="39">
        <f>J143-H143</f>
        <v>67.348616852772778</v>
      </c>
      <c r="L143" s="41">
        <f t="shared" si="431"/>
        <v>62.249497989943649</v>
      </c>
      <c r="M143" s="41">
        <f>L143-L$143</f>
        <v>0</v>
      </c>
      <c r="N143" s="39">
        <f>(E143+2)*SIN(RADIANS(K143))</f>
        <v>83.057868711361749</v>
      </c>
      <c r="O143" s="39">
        <f>(F143/2)- (E143+2)*COS(RADIANS(K143))</f>
        <v>45.338920312168661</v>
      </c>
      <c r="P143" s="42">
        <v>1</v>
      </c>
      <c r="Q143" s="43">
        <f t="shared" si="433"/>
        <v>183</v>
      </c>
      <c r="R143" s="42">
        <v>0.3</v>
      </c>
      <c r="S143" s="39">
        <f>Q143*R143</f>
        <v>54.9</v>
      </c>
      <c r="T143" s="39">
        <f>S143/2</f>
        <v>27.45</v>
      </c>
      <c r="U143" s="39">
        <f>F143/2 -S143/2</f>
        <v>52.55</v>
      </c>
      <c r="V143" s="39">
        <f>O143-T143</f>
        <v>17.888920312168661</v>
      </c>
      <c r="W143" s="39">
        <f>COS(RADIANS(17))*((Q143-S143)/2-8)</f>
        <v>53.600881571728131</v>
      </c>
      <c r="X143" s="40">
        <f xml:space="preserve"> N143- SQRT(W143*W143-V143*V143)</f>
        <v>32.53024225482509</v>
      </c>
      <c r="Y143" s="39">
        <f>SQRT(X143*X143+U143*U143)</f>
        <v>61.803876586809722</v>
      </c>
      <c r="Z143" s="70">
        <f>DEGREES(ASIN(X143/Y143))</f>
        <v>31.75892033135543</v>
      </c>
      <c r="AA143" s="70">
        <f t="shared" si="437"/>
        <v>35.589696521417338</v>
      </c>
      <c r="AB143" s="52">
        <f t="shared" si="438"/>
        <v>67.348616852772764</v>
      </c>
      <c r="AC143" s="70">
        <f>AB143-AB$143</f>
        <v>0</v>
      </c>
      <c r="AD143" s="70">
        <f t="shared" si="455"/>
        <v>111.11035954545255</v>
      </c>
      <c r="AE143" s="71">
        <f>H143+AB143-J$143</f>
        <v>0</v>
      </c>
      <c r="AG143" s="148">
        <f t="shared" si="422"/>
        <v>160</v>
      </c>
      <c r="AH143" s="148">
        <f t="shared" si="441"/>
        <v>0</v>
      </c>
      <c r="AI143" s="148">
        <f t="shared" si="442"/>
        <v>0</v>
      </c>
      <c r="AJ143" s="148">
        <f t="shared" si="443"/>
        <v>0</v>
      </c>
      <c r="AK143" s="148">
        <f t="shared" si="456"/>
        <v>0</v>
      </c>
      <c r="AM143" s="150">
        <f>AG143/AG$143-1</f>
        <v>0</v>
      </c>
      <c r="AN143" s="151">
        <f>AB143/AB$143-1</f>
        <v>0</v>
      </c>
      <c r="AO143" s="151">
        <f>H143/H$143-1</f>
        <v>0</v>
      </c>
      <c r="AP143" s="150">
        <f>AD143/AD$143-1</f>
        <v>0</v>
      </c>
      <c r="AQ143" s="150">
        <f>(Q143+60)/(Q$143+60) -1</f>
        <v>0</v>
      </c>
      <c r="AS143" s="61">
        <f t="shared" si="457"/>
        <v>94.779740244768732</v>
      </c>
    </row>
    <row r="144" spans="1:45">
      <c r="B144" s="20">
        <f t="shared" si="449"/>
        <v>183</v>
      </c>
      <c r="C144" s="18">
        <f t="shared" ref="C144:C148" si="465">100*(0.297865*B144/100+1.08387)</f>
        <v>162.89629500000001</v>
      </c>
      <c r="D144" s="63">
        <f t="shared" ref="D144:F144" si="466">D129</f>
        <v>30.388180947472762</v>
      </c>
      <c r="E144" s="63">
        <f t="shared" si="466"/>
        <v>87.5</v>
      </c>
      <c r="F144" s="63">
        <f t="shared" si="466"/>
        <v>159</v>
      </c>
      <c r="G144" s="20">
        <f t="shared" ref="G144:G148" si="467">(E144+2)*2 -F144</f>
        <v>20</v>
      </c>
      <c r="H144" s="3">
        <f>DEGREES(ACOS((F144-D144)/2/(E144+2)))</f>
        <v>44.069077045892307</v>
      </c>
      <c r="I144" s="69">
        <f t="shared" ref="I144:I148" si="468">H144-H$143</f>
        <v>0.30733435321251079</v>
      </c>
      <c r="J144" s="3"/>
      <c r="K144" s="21"/>
      <c r="L144" s="11">
        <f t="shared" si="431"/>
        <v>62.249497989943627</v>
      </c>
      <c r="M144" s="83">
        <f t="shared" ref="M144:M148" si="469">L144-L$143</f>
        <v>0</v>
      </c>
      <c r="N144" s="21"/>
      <c r="O144" s="21"/>
      <c r="P144" s="23">
        <f>P$143</f>
        <v>1</v>
      </c>
      <c r="Q144" s="20">
        <f t="shared" si="433"/>
        <v>183</v>
      </c>
      <c r="R144" s="23">
        <f>R$143</f>
        <v>0.3</v>
      </c>
      <c r="S144" s="3">
        <f>Q144*R144</f>
        <v>54.9</v>
      </c>
      <c r="T144" s="3">
        <f>S144/2</f>
        <v>27.45</v>
      </c>
      <c r="U144" s="49">
        <f t="shared" si="434"/>
        <v>52.05</v>
      </c>
      <c r="V144" s="39"/>
      <c r="W144" s="3">
        <f t="shared" ref="W144:W148" si="470">COS(RADIANS(17))*((Q144-S144)/2 -8)</f>
        <v>53.600881571728131</v>
      </c>
      <c r="X144" s="61">
        <f t="shared" ref="X144:X147" si="471">X$143- M144</f>
        <v>32.53024225482509</v>
      </c>
      <c r="Y144" s="3">
        <f>SQRT(X144*X144+U144*U144)</f>
        <v>61.379305642517721</v>
      </c>
      <c r="Z144" s="51">
        <f>DEGREES(ASIN(X144/Y144))</f>
        <v>32.004585495629485</v>
      </c>
      <c r="AA144" s="51">
        <f t="shared" si="437"/>
        <v>35.857541618538988</v>
      </c>
      <c r="AB144" s="4">
        <f t="shared" si="438"/>
        <v>67.862127114168473</v>
      </c>
      <c r="AC144" s="70">
        <f t="shared" ref="AC144:AC148" si="472">AB144-AB$143</f>
        <v>0.51351026139570877</v>
      </c>
      <c r="AD144" s="51">
        <f t="shared" si="455"/>
        <v>111.93120416006079</v>
      </c>
      <c r="AE144" s="71">
        <f t="shared" ref="AE144:AE148" si="473">H144+AB144-J$143</f>
        <v>0.82084461460821956</v>
      </c>
      <c r="AG144" s="128">
        <f t="shared" si="422"/>
        <v>159</v>
      </c>
      <c r="AH144" s="128">
        <f t="shared" si="441"/>
        <v>0.51351026139570877</v>
      </c>
      <c r="AI144" s="128">
        <f t="shared" si="442"/>
        <v>0.30733435321251079</v>
      </c>
      <c r="AJ144" s="128">
        <f t="shared" si="443"/>
        <v>0.82084461460821956</v>
      </c>
      <c r="AK144" s="128">
        <f t="shared" si="456"/>
        <v>0.38818094747276177</v>
      </c>
      <c r="AM144" s="134">
        <f t="shared" ref="AM144:AM148" si="474">AG144/AG$143-1</f>
        <v>-6.2499999999999778E-3</v>
      </c>
      <c r="AN144" s="135">
        <f t="shared" ref="AN144:AN148" si="475">AB144/AB$143-1</f>
        <v>7.6246593529643025E-3</v>
      </c>
      <c r="AO144" s="135">
        <f t="shared" ref="AO144:AO148" si="476">H144/H$143-1</f>
        <v>7.0229002389321504E-3</v>
      </c>
      <c r="AP144" s="134">
        <f t="shared" ref="AP144:AP148" si="477">AD144/AD$143-1</f>
        <v>7.387651502220649E-3</v>
      </c>
      <c r="AQ144" s="134">
        <f t="shared" ref="AQ144:AQ148" si="478">(Q144+60)/(Q$143+60) -1</f>
        <v>0</v>
      </c>
      <c r="AS144" s="61">
        <f t="shared" si="457"/>
        <v>94.779740244768718</v>
      </c>
    </row>
    <row r="145" spans="1:45">
      <c r="B145" s="20">
        <f t="shared" si="449"/>
        <v>183</v>
      </c>
      <c r="C145" s="18">
        <f t="shared" si="465"/>
        <v>162.89629500000001</v>
      </c>
      <c r="D145" s="63">
        <f t="shared" ref="D145:F145" si="479">D130</f>
        <v>30.783648849685974</v>
      </c>
      <c r="E145" s="63">
        <f t="shared" si="479"/>
        <v>87</v>
      </c>
      <c r="F145" s="63">
        <f t="shared" si="479"/>
        <v>158</v>
      </c>
      <c r="G145" s="20">
        <f t="shared" si="467"/>
        <v>20</v>
      </c>
      <c r="H145" s="3">
        <f>DEGREES(ACOS((F145-D145)/2/(E145+2)))</f>
        <v>44.381496055881662</v>
      </c>
      <c r="I145" s="69">
        <f t="shared" si="468"/>
        <v>0.61975336320186614</v>
      </c>
      <c r="J145" s="3"/>
      <c r="K145" s="21"/>
      <c r="L145" s="11">
        <f t="shared" si="431"/>
        <v>62.249497989943627</v>
      </c>
      <c r="M145" s="83">
        <f t="shared" si="469"/>
        <v>0</v>
      </c>
      <c r="N145" s="21"/>
      <c r="O145" s="21"/>
      <c r="P145" s="23">
        <f t="shared" ref="P145:P148" si="480">P$143</f>
        <v>1</v>
      </c>
      <c r="Q145" s="20">
        <f t="shared" si="433"/>
        <v>183</v>
      </c>
      <c r="R145" s="23">
        <f t="shared" ref="R145:R148" si="481">R$143</f>
        <v>0.3</v>
      </c>
      <c r="S145" s="3">
        <f t="shared" ref="S145:S148" si="482">Q145*R145</f>
        <v>54.9</v>
      </c>
      <c r="T145" s="3">
        <f t="shared" ref="T145:T148" si="483">S145/2</f>
        <v>27.45</v>
      </c>
      <c r="U145" s="49">
        <f t="shared" si="434"/>
        <v>51.55</v>
      </c>
      <c r="V145" s="39"/>
      <c r="W145" s="3">
        <f t="shared" si="470"/>
        <v>53.600881571728131</v>
      </c>
      <c r="X145" s="61">
        <f t="shared" si="471"/>
        <v>32.53024225482509</v>
      </c>
      <c r="Y145" s="3">
        <f>SQRT(X145*X145+U145*U145)</f>
        <v>60.955878807196342</v>
      </c>
      <c r="Z145" s="51">
        <f>DEGREES(ASIN(X145/Y145))</f>
        <v>32.253668292809408</v>
      </c>
      <c r="AA145" s="51">
        <f t="shared" si="437"/>
        <v>36.129063168670946</v>
      </c>
      <c r="AB145" s="4">
        <f t="shared" si="438"/>
        <v>68.382731461480347</v>
      </c>
      <c r="AC145" s="70">
        <f t="shared" si="472"/>
        <v>1.0341146087075828</v>
      </c>
      <c r="AD145" s="51">
        <f t="shared" si="455"/>
        <v>112.764227517362</v>
      </c>
      <c r="AE145" s="71">
        <f t="shared" si="473"/>
        <v>1.6538679719094347</v>
      </c>
      <c r="AG145" s="128">
        <f t="shared" si="422"/>
        <v>158</v>
      </c>
      <c r="AH145" s="128">
        <f t="shared" si="441"/>
        <v>1.0341146087075828</v>
      </c>
      <c r="AI145" s="128">
        <f t="shared" si="442"/>
        <v>0.61975336320186614</v>
      </c>
      <c r="AJ145" s="128">
        <f t="shared" si="443"/>
        <v>1.6538679719094347</v>
      </c>
      <c r="AK145" s="128">
        <f t="shared" si="456"/>
        <v>0.78364884968597437</v>
      </c>
      <c r="AM145" s="134">
        <f t="shared" si="474"/>
        <v>-1.2499999999999956E-2</v>
      </c>
      <c r="AN145" s="135">
        <f t="shared" si="475"/>
        <v>1.5354652508576372E-2</v>
      </c>
      <c r="AO145" s="135">
        <f t="shared" si="476"/>
        <v>1.4161990018408011E-2</v>
      </c>
      <c r="AP145" s="134">
        <f t="shared" si="477"/>
        <v>1.488491243008605E-2</v>
      </c>
      <c r="AQ145" s="134">
        <f t="shared" si="478"/>
        <v>0</v>
      </c>
      <c r="AS145" s="61">
        <f t="shared" si="457"/>
        <v>94.779740244768718</v>
      </c>
    </row>
    <row r="146" spans="1:45">
      <c r="B146" s="20">
        <f t="shared" si="449"/>
        <v>183</v>
      </c>
      <c r="C146" s="18">
        <f t="shared" si="465"/>
        <v>162.89629500000001</v>
      </c>
      <c r="D146" s="63">
        <f t="shared" ref="D146:F146" si="484">D131</f>
        <v>31.186646177760579</v>
      </c>
      <c r="E146" s="63">
        <f t="shared" si="484"/>
        <v>86.5</v>
      </c>
      <c r="F146" s="63">
        <f t="shared" si="484"/>
        <v>157</v>
      </c>
      <c r="G146" s="20">
        <f t="shared" si="467"/>
        <v>20</v>
      </c>
      <c r="H146" s="3">
        <f>DEGREES(ACOS((F146-D146)/2/(E146+2)))</f>
        <v>44.699150021588643</v>
      </c>
      <c r="I146" s="69">
        <f t="shared" si="468"/>
        <v>0.93740732890884715</v>
      </c>
      <c r="J146" s="3"/>
      <c r="K146" s="21"/>
      <c r="L146" s="11">
        <f t="shared" si="431"/>
        <v>62.249497989943634</v>
      </c>
      <c r="M146" s="83">
        <f t="shared" si="469"/>
        <v>0</v>
      </c>
      <c r="N146" s="21"/>
      <c r="O146" s="21"/>
      <c r="P146" s="23">
        <f t="shared" si="480"/>
        <v>1</v>
      </c>
      <c r="Q146" s="20">
        <f t="shared" si="433"/>
        <v>183</v>
      </c>
      <c r="R146" s="23">
        <f t="shared" si="481"/>
        <v>0.3</v>
      </c>
      <c r="S146" s="3">
        <f t="shared" si="482"/>
        <v>54.9</v>
      </c>
      <c r="T146" s="3">
        <f t="shared" si="483"/>
        <v>27.45</v>
      </c>
      <c r="U146" s="49">
        <f t="shared" si="434"/>
        <v>51.05</v>
      </c>
      <c r="V146" s="39"/>
      <c r="W146" s="3">
        <f t="shared" si="470"/>
        <v>53.600881571728131</v>
      </c>
      <c r="X146" s="61">
        <f t="shared" si="471"/>
        <v>32.53024225482509</v>
      </c>
      <c r="Y146" s="3">
        <f t="shared" ref="Y146:Y148" si="485">SQRT(X146*X146+U146*U146)</f>
        <v>60.533620089646114</v>
      </c>
      <c r="Z146" s="51">
        <f t="shared" ref="Z146:Z148" si="486">DEGREES(ASIN(X146/Y146))</f>
        <v>32.506230926114924</v>
      </c>
      <c r="AA146" s="51">
        <f t="shared" si="437"/>
        <v>36.404327940847963</v>
      </c>
      <c r="AB146" s="4">
        <f t="shared" si="438"/>
        <v>68.910558866962887</v>
      </c>
      <c r="AC146" s="70">
        <f t="shared" si="472"/>
        <v>1.561942014190123</v>
      </c>
      <c r="AD146" s="51">
        <f t="shared" si="455"/>
        <v>113.60970888855152</v>
      </c>
      <c r="AE146" s="71">
        <f t="shared" si="473"/>
        <v>2.499349343098956</v>
      </c>
      <c r="AG146" s="128">
        <f t="shared" si="422"/>
        <v>157</v>
      </c>
      <c r="AH146" s="128">
        <f t="shared" si="441"/>
        <v>1.561942014190123</v>
      </c>
      <c r="AI146" s="128">
        <f t="shared" si="442"/>
        <v>0.93740732890884715</v>
      </c>
      <c r="AJ146" s="128">
        <f t="shared" si="443"/>
        <v>2.499349343098956</v>
      </c>
      <c r="AK146" s="128">
        <f t="shared" si="456"/>
        <v>1.1866461777605792</v>
      </c>
      <c r="AM146" s="134">
        <f t="shared" si="474"/>
        <v>-1.8750000000000044E-2</v>
      </c>
      <c r="AN146" s="135">
        <f t="shared" si="475"/>
        <v>2.3191894461687346E-2</v>
      </c>
      <c r="AO146" s="135">
        <f t="shared" si="476"/>
        <v>2.142070382095751E-2</v>
      </c>
      <c r="AP146" s="134">
        <f t="shared" si="477"/>
        <v>2.2494296241355904E-2</v>
      </c>
      <c r="AQ146" s="134">
        <f t="shared" si="478"/>
        <v>0</v>
      </c>
      <c r="AS146" s="61">
        <f t="shared" si="457"/>
        <v>94.779740244768732</v>
      </c>
    </row>
    <row r="147" spans="1:45">
      <c r="B147" s="20">
        <f t="shared" si="449"/>
        <v>183</v>
      </c>
      <c r="C147" s="18">
        <f t="shared" si="465"/>
        <v>162.89629500000001</v>
      </c>
      <c r="D147" s="63">
        <f t="shared" ref="D147:F147" si="487">D132</f>
        <v>31.597427679328078</v>
      </c>
      <c r="E147" s="63">
        <f t="shared" si="487"/>
        <v>86</v>
      </c>
      <c r="F147" s="63">
        <f t="shared" si="487"/>
        <v>156</v>
      </c>
      <c r="G147" s="20">
        <f t="shared" si="467"/>
        <v>20</v>
      </c>
      <c r="H147" s="3">
        <f>DEGREES(ACOS((F147-D147)/2/(E147+2)))</f>
        <v>45.022196197796561</v>
      </c>
      <c r="I147" s="69">
        <f t="shared" si="468"/>
        <v>1.2604535051167645</v>
      </c>
      <c r="J147" s="3"/>
      <c r="K147" s="21"/>
      <c r="L147" s="11">
        <f t="shared" si="431"/>
        <v>62.249497989943634</v>
      </c>
      <c r="M147" s="83">
        <f t="shared" si="469"/>
        <v>0</v>
      </c>
      <c r="N147" s="21"/>
      <c r="O147" s="21"/>
      <c r="P147" s="23">
        <f t="shared" si="480"/>
        <v>1</v>
      </c>
      <c r="Q147" s="20">
        <f t="shared" si="433"/>
        <v>183</v>
      </c>
      <c r="R147" s="23">
        <f t="shared" si="481"/>
        <v>0.3</v>
      </c>
      <c r="S147" s="3">
        <f t="shared" si="482"/>
        <v>54.9</v>
      </c>
      <c r="T147" s="3">
        <f t="shared" si="483"/>
        <v>27.45</v>
      </c>
      <c r="U147" s="49">
        <f t="shared" si="434"/>
        <v>50.55</v>
      </c>
      <c r="V147" s="39"/>
      <c r="W147" s="3">
        <f t="shared" si="470"/>
        <v>53.600881571728131</v>
      </c>
      <c r="X147" s="61">
        <f t="shared" si="471"/>
        <v>32.53024225482509</v>
      </c>
      <c r="Y147" s="3">
        <f t="shared" si="485"/>
        <v>60.11255410609008</v>
      </c>
      <c r="Z147" s="51">
        <f t="shared" si="486"/>
        <v>32.762336807900425</v>
      </c>
      <c r="AA147" s="51">
        <f t="shared" si="437"/>
        <v>36.683404021488954</v>
      </c>
      <c r="AB147" s="4">
        <f t="shared" si="438"/>
        <v>69.445740829389379</v>
      </c>
      <c r="AC147" s="70">
        <f t="shared" si="472"/>
        <v>2.097123976616615</v>
      </c>
      <c r="AD147" s="51">
        <f t="shared" si="455"/>
        <v>114.46793702718594</v>
      </c>
      <c r="AE147" s="71">
        <f t="shared" si="473"/>
        <v>3.3575774817333723</v>
      </c>
      <c r="AG147" s="128">
        <f t="shared" si="422"/>
        <v>156</v>
      </c>
      <c r="AH147" s="128">
        <f t="shared" si="441"/>
        <v>2.097123976616615</v>
      </c>
      <c r="AI147" s="128">
        <f t="shared" si="442"/>
        <v>1.2604535051167645</v>
      </c>
      <c r="AJ147" s="128">
        <f t="shared" si="443"/>
        <v>3.3575774817333723</v>
      </c>
      <c r="AK147" s="128">
        <f t="shared" si="456"/>
        <v>1.5974276793280779</v>
      </c>
      <c r="AM147" s="134">
        <f t="shared" si="474"/>
        <v>-2.5000000000000022E-2</v>
      </c>
      <c r="AN147" s="135">
        <f t="shared" si="475"/>
        <v>3.1138337721189124E-2</v>
      </c>
      <c r="AO147" s="135">
        <f t="shared" si="476"/>
        <v>2.8802635077135763E-2</v>
      </c>
      <c r="AP147" s="134">
        <f t="shared" si="477"/>
        <v>3.0218401735617517E-2</v>
      </c>
      <c r="AQ147" s="134">
        <f t="shared" si="478"/>
        <v>0</v>
      </c>
      <c r="AS147" s="61">
        <f t="shared" si="457"/>
        <v>94.779740244768732</v>
      </c>
    </row>
    <row r="148" spans="1:45">
      <c r="B148" s="20">
        <f t="shared" si="449"/>
        <v>183</v>
      </c>
      <c r="C148" s="18">
        <f t="shared" si="465"/>
        <v>162.89629500000001</v>
      </c>
      <c r="D148" s="63">
        <f t="shared" ref="D148:F148" si="488">D133</f>
        <v>32.016261237511529</v>
      </c>
      <c r="E148" s="63">
        <f t="shared" si="488"/>
        <v>85.5</v>
      </c>
      <c r="F148" s="63">
        <f t="shared" si="488"/>
        <v>155</v>
      </c>
      <c r="G148" s="20">
        <f t="shared" si="467"/>
        <v>20</v>
      </c>
      <c r="H148" s="3">
        <f t="shared" ref="H148" si="489">DEGREES(ACOS((F148-D148)/2/(E148+2)))</f>
        <v>45.350799253515916</v>
      </c>
      <c r="I148" s="69">
        <f t="shared" si="468"/>
        <v>1.58905656083612</v>
      </c>
      <c r="J148" s="3"/>
      <c r="K148" s="21"/>
      <c r="L148" s="11">
        <f t="shared" si="431"/>
        <v>62.249497989943634</v>
      </c>
      <c r="M148" s="83">
        <f t="shared" si="469"/>
        <v>0</v>
      </c>
      <c r="N148" s="21"/>
      <c r="O148" s="21"/>
      <c r="P148" s="23">
        <f t="shared" si="480"/>
        <v>1</v>
      </c>
      <c r="Q148" s="20">
        <f t="shared" si="433"/>
        <v>183</v>
      </c>
      <c r="R148" s="23">
        <f t="shared" si="481"/>
        <v>0.3</v>
      </c>
      <c r="S148" s="3">
        <f t="shared" si="482"/>
        <v>54.9</v>
      </c>
      <c r="T148" s="3">
        <f t="shared" si="483"/>
        <v>27.45</v>
      </c>
      <c r="U148" s="49">
        <f t="shared" si="434"/>
        <v>50.05</v>
      </c>
      <c r="V148" s="39"/>
      <c r="W148" s="3">
        <f t="shared" si="470"/>
        <v>53.600881571728131</v>
      </c>
      <c r="X148" s="61">
        <f>X$143- M148</f>
        <v>32.53024225482509</v>
      </c>
      <c r="Y148" s="3">
        <f t="shared" si="485"/>
        <v>59.692706096788804</v>
      </c>
      <c r="Z148" s="51">
        <f t="shared" si="486"/>
        <v>33.022050575782984</v>
      </c>
      <c r="AA148" s="51">
        <f t="shared" si="437"/>
        <v>36.966360833759246</v>
      </c>
      <c r="AB148" s="4">
        <f t="shared" si="438"/>
        <v>69.988411409542238</v>
      </c>
      <c r="AC148" s="70">
        <f t="shared" si="472"/>
        <v>2.6397945567694734</v>
      </c>
      <c r="AD148" s="51">
        <f t="shared" si="455"/>
        <v>115.33921066305815</v>
      </c>
      <c r="AE148" s="71">
        <f t="shared" si="473"/>
        <v>4.2288511176055863</v>
      </c>
      <c r="AG148" s="128">
        <f t="shared" si="422"/>
        <v>155</v>
      </c>
      <c r="AH148" s="128">
        <f t="shared" si="441"/>
        <v>2.6397945567694734</v>
      </c>
      <c r="AI148" s="128">
        <f t="shared" si="442"/>
        <v>1.58905656083612</v>
      </c>
      <c r="AJ148" s="128">
        <f t="shared" si="443"/>
        <v>4.2288511176055863</v>
      </c>
      <c r="AK148" s="128">
        <f t="shared" si="456"/>
        <v>2.0162612375115287</v>
      </c>
      <c r="AM148" s="134">
        <f t="shared" si="474"/>
        <v>-3.125E-2</v>
      </c>
      <c r="AN148" s="135">
        <f t="shared" si="475"/>
        <v>3.9195972836980175E-2</v>
      </c>
      <c r="AO148" s="135">
        <f t="shared" si="476"/>
        <v>3.6311546640073189E-2</v>
      </c>
      <c r="AP148" s="134">
        <f t="shared" si="477"/>
        <v>3.805991749919313E-2</v>
      </c>
      <c r="AQ148" s="134">
        <f t="shared" si="478"/>
        <v>0</v>
      </c>
      <c r="AS148" s="61">
        <f t="shared" si="457"/>
        <v>94.779740244768732</v>
      </c>
    </row>
    <row r="149" spans="1:45" s="12" customFormat="1">
      <c r="B149" s="5"/>
      <c r="C149" s="13"/>
      <c r="D149" s="13"/>
      <c r="E149" s="5"/>
      <c r="F149" s="107"/>
      <c r="G149" s="5"/>
      <c r="H149" s="13"/>
      <c r="I149" s="104"/>
      <c r="J149" s="13"/>
      <c r="K149" s="13"/>
      <c r="L149" s="13"/>
      <c r="M149" s="108"/>
      <c r="N149" s="13"/>
      <c r="O149" s="13"/>
      <c r="P149" s="103"/>
      <c r="Q149" s="5"/>
      <c r="R149" s="103"/>
      <c r="S149" s="13"/>
      <c r="T149" s="13"/>
      <c r="U149" s="108"/>
      <c r="V149" s="45"/>
      <c r="W149" s="13"/>
      <c r="X149" s="13"/>
      <c r="Y149" s="13"/>
      <c r="Z149" s="104"/>
      <c r="AA149" s="104"/>
      <c r="AB149" s="104"/>
      <c r="AC149" s="109"/>
      <c r="AD149" s="104"/>
      <c r="AE149" s="109"/>
    </row>
    <row r="150" spans="1:45">
      <c r="A150" s="15" t="s">
        <v>76</v>
      </c>
      <c r="AG150" s="59" t="s">
        <v>110</v>
      </c>
      <c r="AH150" s="59"/>
      <c r="AI150" s="59"/>
      <c r="AJ150" s="59"/>
      <c r="AK150" s="59"/>
    </row>
    <row r="151" spans="1:45" ht="17.25" customHeight="1">
      <c r="A151" s="2" t="s">
        <v>107</v>
      </c>
      <c r="B151" s="60">
        <v>0</v>
      </c>
      <c r="C151" s="2"/>
      <c r="D151" s="20">
        <v>0</v>
      </c>
      <c r="E151" s="60">
        <v>0.5</v>
      </c>
      <c r="F151" s="60">
        <v>0</v>
      </c>
      <c r="P151" s="2" t="s">
        <v>52</v>
      </c>
      <c r="Q151" s="2"/>
      <c r="R151" s="2"/>
      <c r="S151" s="10"/>
      <c r="T151" s="10"/>
      <c r="AG151" s="59"/>
      <c r="AH151" s="59"/>
      <c r="AI151" s="59"/>
      <c r="AJ151" s="59"/>
      <c r="AK151" s="59"/>
      <c r="AM151" s="59" t="s">
        <v>111</v>
      </c>
      <c r="AN151" s="59"/>
      <c r="AO151" s="59"/>
      <c r="AP151" s="59"/>
      <c r="AQ151" s="59"/>
    </row>
    <row r="152" spans="1:45" s="35" customFormat="1" ht="135">
      <c r="A152" s="27"/>
      <c r="B152" s="48" t="s">
        <v>12</v>
      </c>
      <c r="C152" s="48" t="s">
        <v>8</v>
      </c>
      <c r="D152" s="143" t="s">
        <v>42</v>
      </c>
      <c r="E152" s="28" t="s">
        <v>3</v>
      </c>
      <c r="F152" s="143" t="s">
        <v>4</v>
      </c>
      <c r="G152" s="28" t="s">
        <v>41</v>
      </c>
      <c r="I152" s="66" t="s">
        <v>1</v>
      </c>
      <c r="J152" s="66" t="s">
        <v>6</v>
      </c>
      <c r="K152" s="66" t="s">
        <v>5</v>
      </c>
      <c r="M152" s="30" t="s">
        <v>21</v>
      </c>
      <c r="N152" s="30" t="s">
        <v>20</v>
      </c>
      <c r="O152" s="30" t="s">
        <v>22</v>
      </c>
      <c r="P152" s="31" t="s">
        <v>49</v>
      </c>
      <c r="Q152" s="31" t="s">
        <v>112</v>
      </c>
      <c r="R152" s="28" t="s">
        <v>18</v>
      </c>
      <c r="S152" s="28" t="s">
        <v>19</v>
      </c>
      <c r="T152" s="73" t="s">
        <v>83</v>
      </c>
      <c r="U152" s="27"/>
      <c r="V152" s="27"/>
      <c r="W152" s="27"/>
      <c r="AG152" s="28" t="str">
        <f>E152</f>
        <v>Inboard (cm)</v>
      </c>
      <c r="AH152" s="28" t="s">
        <v>113</v>
      </c>
      <c r="AI152" s="28" t="s">
        <v>114</v>
      </c>
      <c r="AJ152" s="28" t="s">
        <v>115</v>
      </c>
      <c r="AK152" s="28" t="str">
        <f>Q152</f>
        <v>distance to move stretcher to stern (cm)</v>
      </c>
      <c r="AM152" s="28" t="str">
        <f>AG152</f>
        <v>Inboard (cm)</v>
      </c>
      <c r="AN152" s="28" t="str">
        <f t="shared" ref="AN152" si="490">AH152</f>
        <v>Change in catch angle (deg)</v>
      </c>
      <c r="AO152" s="28" t="str">
        <f t="shared" ref="AO152" si="491">AI152</f>
        <v>Change in finish angle (deg)</v>
      </c>
      <c r="AP152" s="28" t="str">
        <f t="shared" ref="AP152" si="492">AJ152</f>
        <v>Change in sweep angle (deg)</v>
      </c>
      <c r="AQ152" s="28" t="str">
        <f t="shared" ref="AQ152" si="493">AK152</f>
        <v>distance to move stretcher to stern (cm)</v>
      </c>
    </row>
    <row r="153" spans="1:45">
      <c r="B153" s="140">
        <f t="shared" ref="B153" si="494">5*B151+B158</f>
        <v>183</v>
      </c>
      <c r="C153" s="18">
        <f t="shared" ref="C153:C157" si="495">100*(0.297865*B153/100+1.08387)</f>
        <v>162.89629500000001</v>
      </c>
      <c r="D153" s="140">
        <f t="shared" ref="D153" si="496">5*D151+D158</f>
        <v>30</v>
      </c>
      <c r="E153" s="63">
        <f t="shared" ref="E153" si="497">5*E151+E158</f>
        <v>90.5</v>
      </c>
      <c r="F153" s="140">
        <f>5*F151+F158</f>
        <v>160</v>
      </c>
      <c r="G153" s="63">
        <f t="shared" ref="G153:G157" si="498">(E153+2)*2 -F153</f>
        <v>25</v>
      </c>
      <c r="I153" s="9">
        <f t="shared" ref="I153:I163" si="499">DEGREES(ACOS((F153-D153)/2/(E153+2)))</f>
        <v>45.35575357427485</v>
      </c>
      <c r="J153" s="9">
        <f t="shared" ref="J153:J163" si="500">DEGREES(C153/(E153-6+2))</f>
        <v>107.8990774776649</v>
      </c>
      <c r="K153" s="9">
        <f t="shared" ref="K153:K157" si="501">J153-I153</f>
        <v>62.543323903390053</v>
      </c>
      <c r="M153" s="84">
        <f t="shared" ref="M153:M163" si="502">K153-K$158</f>
        <v>-4.805292949382725</v>
      </c>
      <c r="N153" s="84">
        <f t="shared" ref="N153:N163" si="503">I153-I$158</f>
        <v>1.5940108815950538</v>
      </c>
      <c r="O153" s="84">
        <f t="shared" ref="O153:O163" si="504">J153-J$158</f>
        <v>-3.2112820677876641</v>
      </c>
      <c r="P153" s="11">
        <f t="shared" ref="P153:P163" si="505">((F153-D153)/2)*TAN(RADIANS(I153))</f>
        <v>65.812232905440908</v>
      </c>
      <c r="Q153" s="83">
        <f t="shared" ref="Q153:Q157" si="506">P$158-P153</f>
        <v>-3.5627349154972592</v>
      </c>
      <c r="R153" s="49">
        <f t="shared" ref="R153:R163" si="507">(E153+2)*SIN(RADIANS(K153))</f>
        <v>82.080774873524717</v>
      </c>
      <c r="S153" s="49">
        <f t="shared" ref="S153:S163" si="508">(F153/2)- (E153+2)*COS(RADIANS(K153))</f>
        <v>37.350306024992946</v>
      </c>
      <c r="T153" s="61">
        <f t="shared" ref="T153:T157" si="509">D153-D$158</f>
        <v>0</v>
      </c>
      <c r="AG153" s="128">
        <f>E153</f>
        <v>90.5</v>
      </c>
      <c r="AH153" s="128">
        <f>M153</f>
        <v>-4.805292949382725</v>
      </c>
      <c r="AI153" s="128">
        <f>N153</f>
        <v>1.5940108815950538</v>
      </c>
      <c r="AJ153" s="128">
        <f t="shared" ref="AJ153:AJ163" si="510">O153</f>
        <v>-3.2112820677876641</v>
      </c>
      <c r="AK153" s="128">
        <f>Q153</f>
        <v>-3.5627349154972592</v>
      </c>
      <c r="AM153" s="134">
        <f>AG153/AG$38-1</f>
        <v>-0.43437499999999996</v>
      </c>
      <c r="AN153" s="135">
        <f t="shared" ref="AN153:AN157" si="511">K153/K$158-1</f>
        <v>-7.1349541741700828E-2</v>
      </c>
      <c r="AO153" s="135">
        <f t="shared" ref="AO153:AO163" si="512">J153/J$158-1</f>
        <v>-2.8901734104046395E-2</v>
      </c>
      <c r="AP153" s="135">
        <f t="shared" ref="AP153:AP163" si="513">K153/K$158-1</f>
        <v>-7.1349541741700828E-2</v>
      </c>
      <c r="AQ153" s="134">
        <f t="shared" ref="AQ153:AQ157" si="514">(Q153+60)/(Q$158+60) -1</f>
        <v>-5.9378915258287646E-2</v>
      </c>
    </row>
    <row r="154" spans="1:45">
      <c r="B154" s="140">
        <f t="shared" ref="B154" si="515">4*B151+B158</f>
        <v>183</v>
      </c>
      <c r="C154" s="18">
        <f t="shared" si="495"/>
        <v>162.89629500000001</v>
      </c>
      <c r="D154" s="140">
        <f t="shared" ref="D154" si="516">4*D151+D158</f>
        <v>30</v>
      </c>
      <c r="E154" s="63">
        <f t="shared" ref="E154" si="517">4*E151+E158</f>
        <v>90</v>
      </c>
      <c r="F154" s="140">
        <f>4*F151+F158</f>
        <v>160</v>
      </c>
      <c r="G154" s="63">
        <f t="shared" si="498"/>
        <v>24</v>
      </c>
      <c r="I154" s="9">
        <f t="shared" si="499"/>
        <v>45.047385472527786</v>
      </c>
      <c r="J154" s="9">
        <f t="shared" si="500"/>
        <v>108.52639769555832</v>
      </c>
      <c r="K154" s="9">
        <f t="shared" si="501"/>
        <v>63.47901222303053</v>
      </c>
      <c r="M154" s="84">
        <f t="shared" si="502"/>
        <v>-3.8696046297422484</v>
      </c>
      <c r="N154" s="84">
        <f t="shared" si="503"/>
        <v>1.2856427798479899</v>
      </c>
      <c r="O154" s="84">
        <f t="shared" si="504"/>
        <v>-2.5839618498942514</v>
      </c>
      <c r="P154" s="11">
        <f t="shared" si="505"/>
        <v>65.107603242632123</v>
      </c>
      <c r="Q154" s="83">
        <f t="shared" si="506"/>
        <v>-2.8581052526884747</v>
      </c>
      <c r="R154" s="49">
        <f t="shared" si="507"/>
        <v>82.318918817582528</v>
      </c>
      <c r="S154" s="49">
        <f t="shared" si="508"/>
        <v>38.919644540191037</v>
      </c>
      <c r="T154" s="61">
        <f t="shared" si="509"/>
        <v>0</v>
      </c>
      <c r="AG154" s="128">
        <f t="shared" ref="AG154:AG163" si="518">E154</f>
        <v>90</v>
      </c>
      <c r="AH154" s="128">
        <f t="shared" ref="AH154:AH163" si="519">M154</f>
        <v>-3.8696046297422484</v>
      </c>
      <c r="AI154" s="128">
        <f t="shared" ref="AI154:AI163" si="520">N154</f>
        <v>1.2856427798479899</v>
      </c>
      <c r="AJ154" s="128">
        <f t="shared" si="510"/>
        <v>-2.5839618498942514</v>
      </c>
      <c r="AK154" s="128">
        <f t="shared" ref="AK154:AK163" si="521">Q154</f>
        <v>-2.8581052526884747</v>
      </c>
      <c r="AM154" s="134">
        <f t="shared" ref="AM154:AM157" si="522">AG154/AG$38-1</f>
        <v>-0.4375</v>
      </c>
      <c r="AN154" s="135">
        <f t="shared" si="511"/>
        <v>-5.7456334080347671E-2</v>
      </c>
      <c r="AO154" s="135">
        <f t="shared" si="512"/>
        <v>-2.3255813953488413E-2</v>
      </c>
      <c r="AP154" s="135">
        <f t="shared" si="513"/>
        <v>-5.7456334080347671E-2</v>
      </c>
      <c r="AQ154" s="134">
        <f t="shared" si="514"/>
        <v>-4.7635087544807941E-2</v>
      </c>
    </row>
    <row r="155" spans="1:45">
      <c r="B155" s="140">
        <f t="shared" ref="B155" si="523">3*B151+B158</f>
        <v>183</v>
      </c>
      <c r="C155" s="18">
        <f t="shared" si="495"/>
        <v>162.89629500000001</v>
      </c>
      <c r="D155" s="140">
        <f t="shared" ref="D155" si="524">3*D151+D158</f>
        <v>30</v>
      </c>
      <c r="E155" s="63">
        <f t="shared" ref="E155" si="525">3*E151+E158</f>
        <v>89.5</v>
      </c>
      <c r="F155" s="140">
        <f>3*F151+F158</f>
        <v>160</v>
      </c>
      <c r="G155" s="63">
        <f t="shared" si="498"/>
        <v>23</v>
      </c>
      <c r="I155" s="9">
        <f t="shared" si="499"/>
        <v>44.733953782416926</v>
      </c>
      <c r="J155" s="9">
        <f t="shared" si="500"/>
        <v>109.16105499202357</v>
      </c>
      <c r="K155" s="9">
        <f t="shared" si="501"/>
        <v>64.427101209606633</v>
      </c>
      <c r="M155" s="84">
        <f t="shared" si="502"/>
        <v>-2.9215156431661455</v>
      </c>
      <c r="N155" s="84">
        <f t="shared" si="503"/>
        <v>0.97221108973712944</v>
      </c>
      <c r="O155" s="84">
        <f t="shared" si="504"/>
        <v>-1.9493045534290019</v>
      </c>
      <c r="P155" s="11">
        <f t="shared" si="505"/>
        <v>64.399145957069948</v>
      </c>
      <c r="Q155" s="83">
        <f t="shared" si="506"/>
        <v>-2.1496479671262989</v>
      </c>
      <c r="R155" s="49">
        <f t="shared" si="507"/>
        <v>82.536367600607335</v>
      </c>
      <c r="S155" s="49">
        <f t="shared" si="508"/>
        <v>40.50318970730148</v>
      </c>
      <c r="T155" s="61">
        <f t="shared" si="509"/>
        <v>0</v>
      </c>
      <c r="AG155" s="128">
        <f t="shared" si="518"/>
        <v>89.5</v>
      </c>
      <c r="AH155" s="128">
        <f t="shared" si="519"/>
        <v>-2.9215156431661455</v>
      </c>
      <c r="AI155" s="128">
        <f t="shared" si="520"/>
        <v>0.97221108973712944</v>
      </c>
      <c r="AJ155" s="128">
        <f t="shared" si="510"/>
        <v>-1.9493045534290019</v>
      </c>
      <c r="AK155" s="128">
        <f t="shared" si="521"/>
        <v>-2.1496479671262989</v>
      </c>
      <c r="AM155" s="134">
        <f t="shared" si="522"/>
        <v>-0.44062500000000004</v>
      </c>
      <c r="AN155" s="135">
        <f t="shared" si="511"/>
        <v>-4.3378999891752978E-2</v>
      </c>
      <c r="AO155" s="135">
        <f t="shared" si="512"/>
        <v>-1.7543859649122862E-2</v>
      </c>
      <c r="AP155" s="135">
        <f t="shared" si="513"/>
        <v>-4.3378999891752978E-2</v>
      </c>
      <c r="AQ155" s="134">
        <f t="shared" si="514"/>
        <v>-3.5827466118771634E-2</v>
      </c>
    </row>
    <row r="156" spans="1:45">
      <c r="B156" s="140">
        <f t="shared" ref="B156" si="526">2*B151+B158</f>
        <v>183</v>
      </c>
      <c r="C156" s="18">
        <f t="shared" si="495"/>
        <v>162.89629500000001</v>
      </c>
      <c r="D156" s="140">
        <f t="shared" ref="D156" si="527">2*D151+D158</f>
        <v>30</v>
      </c>
      <c r="E156" s="63">
        <f t="shared" ref="E156" si="528">2*E151+E158</f>
        <v>89</v>
      </c>
      <c r="F156" s="140">
        <f>2*F151+F158</f>
        <v>160</v>
      </c>
      <c r="G156" s="63">
        <f t="shared" si="498"/>
        <v>22</v>
      </c>
      <c r="I156" s="9">
        <f t="shared" si="499"/>
        <v>44.415308597192968</v>
      </c>
      <c r="J156" s="9">
        <f t="shared" si="500"/>
        <v>109.80317884491782</v>
      </c>
      <c r="K156" s="9">
        <f t="shared" si="501"/>
        <v>65.387870247724862</v>
      </c>
      <c r="M156" s="84">
        <f t="shared" si="502"/>
        <v>-1.9607466050479161</v>
      </c>
      <c r="N156" s="84">
        <f t="shared" si="503"/>
        <v>0.65356590451317231</v>
      </c>
      <c r="O156" s="84">
        <f t="shared" si="504"/>
        <v>-1.3071807005347438</v>
      </c>
      <c r="P156" s="11">
        <f t="shared" si="505"/>
        <v>63.686733312362612</v>
      </c>
      <c r="Q156" s="83">
        <f t="shared" si="506"/>
        <v>-1.4372353224189638</v>
      </c>
      <c r="R156" s="49">
        <f t="shared" si="507"/>
        <v>82.73246438873737</v>
      </c>
      <c r="S156" s="49">
        <f t="shared" si="508"/>
        <v>42.100932252015703</v>
      </c>
      <c r="T156" s="61">
        <f t="shared" si="509"/>
        <v>0</v>
      </c>
      <c r="AG156" s="128">
        <f t="shared" si="518"/>
        <v>89</v>
      </c>
      <c r="AH156" s="128">
        <f t="shared" si="519"/>
        <v>-1.9607466050479161</v>
      </c>
      <c r="AI156" s="128">
        <f t="shared" si="520"/>
        <v>0.65356590451317231</v>
      </c>
      <c r="AJ156" s="128">
        <f t="shared" si="510"/>
        <v>-1.3071807005347438</v>
      </c>
      <c r="AK156" s="128">
        <f t="shared" si="521"/>
        <v>-1.4372353224189638</v>
      </c>
      <c r="AM156" s="134">
        <f t="shared" si="522"/>
        <v>-0.44374999999999998</v>
      </c>
      <c r="AN156" s="135">
        <f t="shared" si="511"/>
        <v>-2.9113390841183917E-2</v>
      </c>
      <c r="AO156" s="135">
        <f t="shared" si="512"/>
        <v>-1.176470588235301E-2</v>
      </c>
      <c r="AP156" s="135">
        <f t="shared" si="513"/>
        <v>-2.9113390841183917E-2</v>
      </c>
      <c r="AQ156" s="134">
        <f t="shared" si="514"/>
        <v>-2.39539220403161E-2</v>
      </c>
    </row>
    <row r="157" spans="1:45">
      <c r="B157" s="140">
        <f t="shared" ref="B157" si="529">B158+B151</f>
        <v>183</v>
      </c>
      <c r="C157" s="18">
        <f t="shared" si="495"/>
        <v>162.89629500000001</v>
      </c>
      <c r="D157" s="140">
        <f t="shared" ref="D157:E157" si="530">D158+D151</f>
        <v>30</v>
      </c>
      <c r="E157" s="63">
        <f t="shared" si="530"/>
        <v>88.5</v>
      </c>
      <c r="F157" s="140">
        <f>F158+F151</f>
        <v>160</v>
      </c>
      <c r="G157" s="63">
        <f t="shared" si="498"/>
        <v>21</v>
      </c>
      <c r="I157" s="9">
        <f t="shared" si="499"/>
        <v>44.091293018872854</v>
      </c>
      <c r="J157" s="9">
        <f t="shared" si="500"/>
        <v>110.4529017966629</v>
      </c>
      <c r="K157" s="9">
        <f t="shared" si="501"/>
        <v>66.361608777790053</v>
      </c>
      <c r="M157" s="84">
        <f t="shared" si="502"/>
        <v>-0.98700807498272525</v>
      </c>
      <c r="N157" s="84">
        <f t="shared" si="503"/>
        <v>0.32955032619305769</v>
      </c>
      <c r="O157" s="84">
        <f t="shared" si="504"/>
        <v>-0.65745774878966756</v>
      </c>
      <c r="P157" s="11">
        <f t="shared" si="505"/>
        <v>62.97023106198673</v>
      </c>
      <c r="Q157" s="83">
        <f t="shared" si="506"/>
        <v>-0.72073307204308179</v>
      </c>
      <c r="R157" s="49">
        <f t="shared" si="507"/>
        <v>82.906531318169783</v>
      </c>
      <c r="S157" s="49">
        <f t="shared" si="508"/>
        <v>43.71285262259746</v>
      </c>
      <c r="T157" s="61">
        <f t="shared" si="509"/>
        <v>0</v>
      </c>
      <c r="AG157" s="128">
        <f t="shared" si="518"/>
        <v>88.5</v>
      </c>
      <c r="AH157" s="128">
        <f t="shared" si="519"/>
        <v>-0.98700807498272525</v>
      </c>
      <c r="AI157" s="128">
        <f t="shared" si="520"/>
        <v>0.32955032619305769</v>
      </c>
      <c r="AJ157" s="128">
        <f t="shared" si="510"/>
        <v>-0.65745774878966756</v>
      </c>
      <c r="AK157" s="128">
        <f t="shared" si="521"/>
        <v>-0.72073307204308179</v>
      </c>
      <c r="AM157" s="134">
        <f t="shared" si="522"/>
        <v>-0.44687500000000002</v>
      </c>
      <c r="AN157" s="135">
        <f t="shared" si="511"/>
        <v>-1.4655209284258564E-2</v>
      </c>
      <c r="AO157" s="135">
        <f t="shared" si="512"/>
        <v>-5.9171597633136397E-3</v>
      </c>
      <c r="AP157" s="135">
        <f t="shared" si="513"/>
        <v>-1.4655209284258564E-2</v>
      </c>
      <c r="AQ157" s="134">
        <f t="shared" si="514"/>
        <v>-1.2012217867384711E-2</v>
      </c>
    </row>
    <row r="158" spans="1:45" s="15" customFormat="1">
      <c r="B158" s="147">
        <v>183</v>
      </c>
      <c r="C158" s="37">
        <f>100*(0.297865*B158/100+1.08387)</f>
        <v>162.89629500000001</v>
      </c>
      <c r="D158" s="147">
        <v>30</v>
      </c>
      <c r="E158" s="147">
        <v>88</v>
      </c>
      <c r="F158" s="147">
        <v>160</v>
      </c>
      <c r="G158" s="40">
        <f>(E158+2)*2 -F158</f>
        <v>20</v>
      </c>
      <c r="I158" s="44">
        <f t="shared" si="499"/>
        <v>43.761742692679796</v>
      </c>
      <c r="J158" s="44">
        <f t="shared" si="500"/>
        <v>111.11035954545257</v>
      </c>
      <c r="K158" s="44">
        <f>J158-I158</f>
        <v>67.348616852772778</v>
      </c>
      <c r="M158" s="44">
        <f t="shared" si="502"/>
        <v>0</v>
      </c>
      <c r="N158" s="44">
        <f t="shared" si="503"/>
        <v>0</v>
      </c>
      <c r="O158" s="44">
        <f t="shared" si="504"/>
        <v>0</v>
      </c>
      <c r="P158" s="41">
        <f t="shared" si="505"/>
        <v>62.249497989943649</v>
      </c>
      <c r="Q158" s="41">
        <f>P$158-P158</f>
        <v>0</v>
      </c>
      <c r="R158" s="39">
        <f t="shared" si="507"/>
        <v>83.057868711361749</v>
      </c>
      <c r="S158" s="39">
        <f t="shared" si="508"/>
        <v>45.338920312168661</v>
      </c>
      <c r="T158" s="39">
        <f>D158-D$158</f>
        <v>0</v>
      </c>
      <c r="AG158" s="148">
        <f t="shared" si="518"/>
        <v>88</v>
      </c>
      <c r="AH158" s="148">
        <f t="shared" si="519"/>
        <v>0</v>
      </c>
      <c r="AI158" s="148">
        <f t="shared" si="520"/>
        <v>0</v>
      </c>
      <c r="AJ158" s="148">
        <f t="shared" si="510"/>
        <v>0</v>
      </c>
      <c r="AK158" s="148">
        <f t="shared" si="521"/>
        <v>0</v>
      </c>
      <c r="AM158" s="150">
        <f>AG158/AG$158-1</f>
        <v>0</v>
      </c>
      <c r="AN158" s="151">
        <f>K158/K$158-1</f>
        <v>0</v>
      </c>
      <c r="AO158" s="151">
        <f t="shared" si="512"/>
        <v>0</v>
      </c>
      <c r="AP158" s="151">
        <f t="shared" si="513"/>
        <v>0</v>
      </c>
      <c r="AQ158" s="150">
        <f>(Q158+60)/(Q$158+60) -1</f>
        <v>0</v>
      </c>
    </row>
    <row r="159" spans="1:45">
      <c r="B159" s="140">
        <f t="shared" ref="B159" si="531">B158-B151</f>
        <v>183</v>
      </c>
      <c r="C159" s="18">
        <f>100*(0.297865*B159/100+1.08387)</f>
        <v>162.89629500000001</v>
      </c>
      <c r="D159" s="140">
        <f t="shared" ref="D159:E159" si="532">D158-D151</f>
        <v>30</v>
      </c>
      <c r="E159" s="63">
        <f t="shared" si="532"/>
        <v>87.5</v>
      </c>
      <c r="F159" s="140">
        <f>F158-F151</f>
        <v>160</v>
      </c>
      <c r="G159" s="63">
        <f t="shared" ref="G159:G163" si="533">(E159+2)*2 -F159</f>
        <v>19</v>
      </c>
      <c r="I159" s="9">
        <f t="shared" si="499"/>
        <v>43.426485300369002</v>
      </c>
      <c r="J159" s="9">
        <f t="shared" si="500"/>
        <v>111.77569103973671</v>
      </c>
      <c r="K159" s="9">
        <f t="shared" ref="K159:K163" si="534">J159-I159</f>
        <v>68.349205739367704</v>
      </c>
      <c r="M159" s="84">
        <f t="shared" si="502"/>
        <v>1.000588886594926</v>
      </c>
      <c r="N159" s="84">
        <f t="shared" si="503"/>
        <v>-0.33525739231079399</v>
      </c>
      <c r="O159" s="84">
        <f t="shared" si="504"/>
        <v>0.66533149428414617</v>
      </c>
      <c r="P159" s="11">
        <f t="shared" si="505"/>
        <v>61.524385409364307</v>
      </c>
      <c r="Q159" s="83">
        <f t="shared" ref="Q159:Q163" si="535">P$158-P159</f>
        <v>0.72511258057934214</v>
      </c>
      <c r="R159" s="49">
        <f t="shared" si="507"/>
        <v>83.185754251496093</v>
      </c>
      <c r="S159" s="49">
        <f t="shared" si="508"/>
        <v>46.979093143741508</v>
      </c>
      <c r="T159" s="61">
        <f t="shared" ref="T159:T163" si="536">D159-D$158</f>
        <v>0</v>
      </c>
      <c r="AG159" s="128">
        <f t="shared" si="518"/>
        <v>87.5</v>
      </c>
      <c r="AH159" s="128">
        <f t="shared" si="519"/>
        <v>1.000588886594926</v>
      </c>
      <c r="AI159" s="128">
        <f t="shared" si="520"/>
        <v>-0.33525739231079399</v>
      </c>
      <c r="AJ159" s="128">
        <f t="shared" si="510"/>
        <v>0.66533149428414617</v>
      </c>
      <c r="AK159" s="128">
        <f t="shared" si="521"/>
        <v>0.72511258057934214</v>
      </c>
      <c r="AM159" s="134">
        <f t="shared" ref="AM159:AM163" si="537">AG159/AG$158-1</f>
        <v>-5.6818181818182323E-3</v>
      </c>
      <c r="AN159" s="135">
        <f t="shared" ref="AN159:AN163" si="538">K159/K$158-1</f>
        <v>1.4856858735232237E-2</v>
      </c>
      <c r="AO159" s="135">
        <f t="shared" si="512"/>
        <v>5.9880239520957446E-3</v>
      </c>
      <c r="AP159" s="135">
        <f t="shared" si="513"/>
        <v>1.4856858735232237E-2</v>
      </c>
      <c r="AQ159" s="134">
        <f t="shared" ref="AQ159:AQ163" si="539">(Q159+60)/(Q$158+60) -1</f>
        <v>1.2085209676322428E-2</v>
      </c>
    </row>
    <row r="160" spans="1:45">
      <c r="B160" s="140">
        <f t="shared" ref="B160" si="540">B158-2*B151</f>
        <v>183</v>
      </c>
      <c r="C160" s="18">
        <f t="shared" ref="C160:C163" si="541">100*(0.297865*B160/100+1.08387)</f>
        <v>162.89629500000001</v>
      </c>
      <c r="D160" s="140">
        <f t="shared" ref="D160" si="542">D158-2*D151</f>
        <v>30</v>
      </c>
      <c r="E160" s="63">
        <f t="shared" ref="E160" si="543">E158-2*E151</f>
        <v>87</v>
      </c>
      <c r="F160" s="140">
        <f>F158-2*F151</f>
        <v>160</v>
      </c>
      <c r="G160" s="63">
        <f t="shared" si="533"/>
        <v>18</v>
      </c>
      <c r="I160" s="9">
        <f t="shared" si="499"/>
        <v>43.085340007870563</v>
      </c>
      <c r="J160" s="9">
        <f t="shared" si="500"/>
        <v>112.44903857612067</v>
      </c>
      <c r="K160" s="9">
        <f t="shared" si="534"/>
        <v>69.363698568250101</v>
      </c>
      <c r="M160" s="84">
        <f t="shared" si="502"/>
        <v>2.0150817154773222</v>
      </c>
      <c r="N160" s="84">
        <f t="shared" si="503"/>
        <v>-0.67640268480923282</v>
      </c>
      <c r="O160" s="84">
        <f t="shared" si="504"/>
        <v>1.3386790306681036</v>
      </c>
      <c r="P160" s="11">
        <f t="shared" si="505"/>
        <v>60.794736614282648</v>
      </c>
      <c r="Q160" s="83">
        <f t="shared" si="535"/>
        <v>1.4547613756610005</v>
      </c>
      <c r="R160" s="49">
        <f t="shared" si="507"/>
        <v>83.289442111381248</v>
      </c>
      <c r="S160" s="49">
        <f t="shared" si="508"/>
        <v>48.633316516168463</v>
      </c>
      <c r="T160" s="61">
        <f t="shared" si="536"/>
        <v>0</v>
      </c>
      <c r="AG160" s="128">
        <f t="shared" si="518"/>
        <v>87</v>
      </c>
      <c r="AH160" s="128">
        <f t="shared" si="519"/>
        <v>2.0150817154773222</v>
      </c>
      <c r="AI160" s="128">
        <f t="shared" si="520"/>
        <v>-0.67640268480923282</v>
      </c>
      <c r="AJ160" s="128">
        <f t="shared" si="510"/>
        <v>1.3386790306681036</v>
      </c>
      <c r="AK160" s="128">
        <f t="shared" si="521"/>
        <v>1.4547613756610005</v>
      </c>
      <c r="AM160" s="134">
        <f t="shared" si="537"/>
        <v>-1.1363636363636354E-2</v>
      </c>
      <c r="AN160" s="135">
        <f t="shared" si="538"/>
        <v>2.9920164802825555E-2</v>
      </c>
      <c r="AO160" s="135">
        <f t="shared" si="512"/>
        <v>1.2048192771084265E-2</v>
      </c>
      <c r="AP160" s="135">
        <f t="shared" si="513"/>
        <v>2.9920164802825555E-2</v>
      </c>
      <c r="AQ160" s="134">
        <f t="shared" si="539"/>
        <v>2.4246022927683297E-2</v>
      </c>
    </row>
    <row r="161" spans="1:45">
      <c r="B161" s="140">
        <f t="shared" ref="B161" si="544">B158-3*B151</f>
        <v>183</v>
      </c>
      <c r="C161" s="18">
        <f t="shared" si="541"/>
        <v>162.89629500000001</v>
      </c>
      <c r="D161" s="140">
        <f t="shared" ref="D161" si="545">D158-3*D151</f>
        <v>30</v>
      </c>
      <c r="E161" s="63">
        <f t="shared" ref="E161" si="546">E158-3*E151</f>
        <v>86.5</v>
      </c>
      <c r="F161" s="140">
        <f>F158-3*F151</f>
        <v>160</v>
      </c>
      <c r="G161" s="63">
        <f t="shared" si="533"/>
        <v>17</v>
      </c>
      <c r="I161" s="9">
        <f t="shared" si="499"/>
        <v>42.738116862065233</v>
      </c>
      <c r="J161" s="9">
        <f t="shared" si="500"/>
        <v>113.13054790082442</v>
      </c>
      <c r="K161" s="9">
        <f t="shared" si="534"/>
        <v>70.392431038759185</v>
      </c>
      <c r="M161" s="84">
        <f t="shared" si="502"/>
        <v>3.0438141859864061</v>
      </c>
      <c r="N161" s="84">
        <f t="shared" si="503"/>
        <v>-1.0236258306145629</v>
      </c>
      <c r="O161" s="84">
        <f t="shared" si="504"/>
        <v>2.0201883553718574</v>
      </c>
      <c r="P161" s="11">
        <f t="shared" si="505"/>
        <v>60.060386279144097</v>
      </c>
      <c r="Q161" s="83">
        <f>P$158-P161</f>
        <v>2.1891117107995512</v>
      </c>
      <c r="R161" s="49">
        <f t="shared" si="507"/>
        <v>83.36816203241959</v>
      </c>
      <c r="S161" s="49">
        <f t="shared" si="508"/>
        <v>50.301522609126337</v>
      </c>
      <c r="T161" s="61">
        <f t="shared" si="536"/>
        <v>0</v>
      </c>
      <c r="AG161" s="128">
        <f t="shared" si="518"/>
        <v>86.5</v>
      </c>
      <c r="AH161" s="128">
        <f t="shared" si="519"/>
        <v>3.0438141859864061</v>
      </c>
      <c r="AI161" s="128">
        <f t="shared" si="520"/>
        <v>-1.0236258306145629</v>
      </c>
      <c r="AJ161" s="128">
        <f t="shared" si="510"/>
        <v>2.0201883553718574</v>
      </c>
      <c r="AK161" s="128">
        <f t="shared" si="521"/>
        <v>2.1891117107995512</v>
      </c>
      <c r="AM161" s="134">
        <f t="shared" si="537"/>
        <v>-1.7045454545454586E-2</v>
      </c>
      <c r="AN161" s="135">
        <f t="shared" si="538"/>
        <v>4.5194902705133932E-2</v>
      </c>
      <c r="AO161" s="135">
        <f t="shared" si="512"/>
        <v>1.8181818181818077E-2</v>
      </c>
      <c r="AP161" s="135">
        <f t="shared" si="513"/>
        <v>4.5194902705133932E-2</v>
      </c>
      <c r="AQ161" s="134">
        <f t="shared" si="539"/>
        <v>3.6485195179992491E-2</v>
      </c>
    </row>
    <row r="162" spans="1:45">
      <c r="B162" s="140">
        <f t="shared" ref="B162" si="547">B158-4*B151</f>
        <v>183</v>
      </c>
      <c r="C162" s="18">
        <f t="shared" si="541"/>
        <v>162.89629500000001</v>
      </c>
      <c r="D162" s="140">
        <f t="shared" ref="D162" si="548">D158-4*D151</f>
        <v>30</v>
      </c>
      <c r="E162" s="63">
        <f t="shared" ref="E162" si="549">E158-4*E151</f>
        <v>86</v>
      </c>
      <c r="F162" s="140">
        <f>F158-4*F151</f>
        <v>160</v>
      </c>
      <c r="G162" s="63">
        <f t="shared" si="533"/>
        <v>16</v>
      </c>
      <c r="I162" s="9">
        <f t="shared" si="499"/>
        <v>42.384616130794591</v>
      </c>
      <c r="J162" s="9">
        <f t="shared" si="500"/>
        <v>113.82036831485384</v>
      </c>
      <c r="K162" s="9">
        <f t="shared" si="534"/>
        <v>71.435752184059254</v>
      </c>
      <c r="M162" s="84">
        <f t="shared" si="502"/>
        <v>4.0871353312864755</v>
      </c>
      <c r="N162" s="84">
        <f t="shared" si="503"/>
        <v>-1.3771265618852055</v>
      </c>
      <c r="O162" s="84">
        <f t="shared" si="504"/>
        <v>2.71000876940127</v>
      </c>
      <c r="P162" s="11">
        <f t="shared" si="505"/>
        <v>59.321159799855565</v>
      </c>
      <c r="Q162" s="83">
        <f t="shared" si="535"/>
        <v>2.928338190088084</v>
      </c>
      <c r="R162" s="49">
        <f t="shared" si="507"/>
        <v>83.421118348651547</v>
      </c>
      <c r="S162" s="49">
        <f t="shared" si="508"/>
        <v>51.983629545205666</v>
      </c>
      <c r="T162" s="61">
        <f t="shared" si="536"/>
        <v>0</v>
      </c>
      <c r="AG162" s="128">
        <f t="shared" si="518"/>
        <v>86</v>
      </c>
      <c r="AH162" s="128">
        <f t="shared" si="519"/>
        <v>4.0871353312864755</v>
      </c>
      <c r="AI162" s="128">
        <f t="shared" si="520"/>
        <v>-1.3771265618852055</v>
      </c>
      <c r="AJ162" s="128">
        <f t="shared" si="510"/>
        <v>2.71000876940127</v>
      </c>
      <c r="AK162" s="128">
        <f t="shared" si="521"/>
        <v>2.928338190088084</v>
      </c>
      <c r="AM162" s="134">
        <f t="shared" si="537"/>
        <v>-2.2727272727272707E-2</v>
      </c>
      <c r="AN162" s="135">
        <f t="shared" si="538"/>
        <v>6.0686254926677119E-2</v>
      </c>
      <c r="AO162" s="135">
        <f t="shared" si="512"/>
        <v>2.4390243902438824E-2</v>
      </c>
      <c r="AP162" s="135">
        <f t="shared" si="513"/>
        <v>6.0686254926677119E-2</v>
      </c>
      <c r="AQ162" s="134">
        <f t="shared" si="539"/>
        <v>4.8805636501467964E-2</v>
      </c>
    </row>
    <row r="163" spans="1:45">
      <c r="B163" s="140">
        <f t="shared" ref="B163" si="550">B158-5*B151</f>
        <v>183</v>
      </c>
      <c r="C163" s="18">
        <f t="shared" si="541"/>
        <v>162.89629500000001</v>
      </c>
      <c r="D163" s="140">
        <f t="shared" ref="D163" si="551">D158-5*D151</f>
        <v>30</v>
      </c>
      <c r="E163" s="63">
        <f t="shared" ref="E163" si="552">E158-5*E151</f>
        <v>85.5</v>
      </c>
      <c r="F163" s="140">
        <f>F158-5*F151</f>
        <v>160</v>
      </c>
      <c r="G163" s="63">
        <f t="shared" si="533"/>
        <v>15</v>
      </c>
      <c r="I163" s="9">
        <f t="shared" si="499"/>
        <v>42.024627579377224</v>
      </c>
      <c r="J163" s="9">
        <f t="shared" si="500"/>
        <v>114.51865278304312</v>
      </c>
      <c r="K163" s="9">
        <f t="shared" si="534"/>
        <v>72.494025203665899</v>
      </c>
      <c r="M163" s="84">
        <f t="shared" si="502"/>
        <v>5.1454083508931205</v>
      </c>
      <c r="N163" s="84">
        <f t="shared" si="503"/>
        <v>-1.737115113302572</v>
      </c>
      <c r="O163" s="84">
        <f t="shared" si="504"/>
        <v>3.4082932375905557</v>
      </c>
      <c r="P163" s="11">
        <f t="shared" si="505"/>
        <v>58.576872569299901</v>
      </c>
      <c r="Q163" s="83">
        <f t="shared" si="535"/>
        <v>3.6726254206437474</v>
      </c>
      <c r="R163" s="49">
        <f t="shared" si="507"/>
        <v>83.447488950144972</v>
      </c>
      <c r="S163" s="49">
        <f t="shared" si="508"/>
        <v>53.679540507137176</v>
      </c>
      <c r="T163" s="61">
        <f t="shared" si="536"/>
        <v>0</v>
      </c>
      <c r="AG163" s="128">
        <f t="shared" si="518"/>
        <v>85.5</v>
      </c>
      <c r="AH163" s="128">
        <f t="shared" si="519"/>
        <v>5.1454083508931205</v>
      </c>
      <c r="AI163" s="128">
        <f t="shared" si="520"/>
        <v>-1.737115113302572</v>
      </c>
      <c r="AJ163" s="128">
        <f t="shared" si="510"/>
        <v>3.4082932375905557</v>
      </c>
      <c r="AK163" s="128">
        <f t="shared" si="521"/>
        <v>3.6726254206437474</v>
      </c>
      <c r="AM163" s="134">
        <f t="shared" si="537"/>
        <v>-2.8409090909090939E-2</v>
      </c>
      <c r="AN163" s="135">
        <f t="shared" si="538"/>
        <v>7.639961429558717E-2</v>
      </c>
      <c r="AO163" s="135">
        <f t="shared" si="512"/>
        <v>3.0674846625766694E-2</v>
      </c>
      <c r="AP163" s="135">
        <f t="shared" si="513"/>
        <v>7.639961429558717E-2</v>
      </c>
      <c r="AQ163" s="134">
        <f t="shared" si="539"/>
        <v>6.121042367739582E-2</v>
      </c>
    </row>
    <row r="164" spans="1:45" s="12" customFormat="1">
      <c r="B164" s="5"/>
      <c r="C164" s="19" t="s">
        <v>24</v>
      </c>
      <c r="D164" s="13"/>
      <c r="E164" s="13"/>
      <c r="F164" s="13"/>
      <c r="G164" s="13"/>
      <c r="H164" s="13"/>
      <c r="I164" s="13"/>
      <c r="J164" s="13"/>
      <c r="M164" s="108"/>
      <c r="N164" s="108"/>
      <c r="O164" s="108"/>
      <c r="P164" s="13"/>
      <c r="Q164" s="45"/>
      <c r="R164" s="108"/>
      <c r="S164" s="108"/>
      <c r="T164" s="13"/>
      <c r="AG164" s="131"/>
      <c r="AH164" s="132"/>
      <c r="AI164" s="132"/>
      <c r="AJ164" s="132"/>
      <c r="AK164" s="131"/>
    </row>
    <row r="165" spans="1:45" ht="18.75">
      <c r="A165" s="15" t="s">
        <v>77</v>
      </c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AM165" s="59"/>
      <c r="AN165" s="59"/>
      <c r="AO165" s="59"/>
      <c r="AP165" s="59"/>
      <c r="AQ165" s="59"/>
    </row>
    <row r="166" spans="1:45" ht="30" customHeight="1">
      <c r="A166" s="20"/>
      <c r="B166" s="20"/>
      <c r="C166" s="20"/>
      <c r="D166" s="20"/>
      <c r="E166" s="20"/>
      <c r="F166" s="20"/>
      <c r="M166" s="236" t="s">
        <v>14</v>
      </c>
      <c r="N166" s="237"/>
      <c r="V166" s="5"/>
      <c r="AG166" s="35"/>
      <c r="AH166" s="35"/>
      <c r="AI166" s="35"/>
      <c r="AJ166" s="35"/>
      <c r="AK166" s="35"/>
      <c r="AM166" s="59"/>
      <c r="AN166" s="59"/>
      <c r="AO166" s="59"/>
      <c r="AP166" s="59"/>
      <c r="AQ166" s="59"/>
    </row>
    <row r="167" spans="1:45" s="35" customFormat="1" ht="136.5">
      <c r="A167" s="27"/>
      <c r="B167" s="28" t="s">
        <v>12</v>
      </c>
      <c r="C167" s="28" t="s">
        <v>8</v>
      </c>
      <c r="D167" s="29" t="s">
        <v>42</v>
      </c>
      <c r="E167" s="28" t="s">
        <v>3</v>
      </c>
      <c r="F167" s="28" t="s">
        <v>4</v>
      </c>
      <c r="G167" s="28" t="s">
        <v>41</v>
      </c>
      <c r="H167" s="65" t="s">
        <v>1</v>
      </c>
      <c r="I167" s="65" t="s">
        <v>6</v>
      </c>
      <c r="J167" s="65" t="s">
        <v>5</v>
      </c>
      <c r="K167" s="66" t="s">
        <v>20</v>
      </c>
      <c r="L167" s="31" t="s">
        <v>49</v>
      </c>
      <c r="M167" s="31" t="s">
        <v>112</v>
      </c>
      <c r="N167" s="28" t="s">
        <v>18</v>
      </c>
      <c r="O167" s="28" t="s">
        <v>19</v>
      </c>
      <c r="P167" s="32" t="s">
        <v>25</v>
      </c>
      <c r="Q167" s="28" t="s">
        <v>27</v>
      </c>
      <c r="R167" s="33" t="s">
        <v>26</v>
      </c>
      <c r="S167" s="28" t="s">
        <v>28</v>
      </c>
      <c r="T167" s="28" t="s">
        <v>33</v>
      </c>
      <c r="U167" s="28" t="s">
        <v>34</v>
      </c>
      <c r="V167" s="28" t="s">
        <v>30</v>
      </c>
      <c r="W167" s="28" t="s">
        <v>43</v>
      </c>
      <c r="X167" s="29" t="s">
        <v>29</v>
      </c>
      <c r="Y167" s="28" t="s">
        <v>32</v>
      </c>
      <c r="Z167" s="30" t="s">
        <v>31</v>
      </c>
      <c r="AA167" s="30" t="s">
        <v>35</v>
      </c>
      <c r="AB167" s="28" t="s">
        <v>36</v>
      </c>
      <c r="AC167" s="30" t="s">
        <v>37</v>
      </c>
      <c r="AD167" s="30" t="s">
        <v>48</v>
      </c>
      <c r="AE167" s="34" t="s">
        <v>38</v>
      </c>
      <c r="AG167" s="128" t="str">
        <f>E152</f>
        <v>Inboard (cm)</v>
      </c>
      <c r="AH167" s="28" t="s">
        <v>113</v>
      </c>
      <c r="AI167" s="28" t="s">
        <v>114</v>
      </c>
      <c r="AJ167" s="28" t="s">
        <v>115</v>
      </c>
      <c r="AK167" s="28" t="str">
        <f>Q152</f>
        <v>distance to move stretcher to stern (cm)</v>
      </c>
      <c r="AM167" s="28" t="str">
        <f>AG167</f>
        <v>Inboard (cm)</v>
      </c>
      <c r="AN167" s="28" t="str">
        <f>AH167</f>
        <v>Change in catch angle (deg)</v>
      </c>
      <c r="AO167" s="28" t="str">
        <f>AI167</f>
        <v>Change in finish angle (deg)</v>
      </c>
      <c r="AP167" s="28" t="str">
        <f>AJ167</f>
        <v>Change in sweep angle (deg)</v>
      </c>
      <c r="AQ167" s="28" t="str">
        <f>AK167</f>
        <v>distance to move stretcher to stern (cm)</v>
      </c>
      <c r="AS167" s="136" t="s">
        <v>170</v>
      </c>
    </row>
    <row r="168" spans="1:45">
      <c r="A168" s="5"/>
      <c r="B168" s="20">
        <f>B153</f>
        <v>183</v>
      </c>
      <c r="C168" s="18">
        <f t="shared" ref="C168:C172" si="553">100*(0.297865*B168/100+1.08387)</f>
        <v>162.89629500000001</v>
      </c>
      <c r="D168" s="140">
        <f>D153</f>
        <v>30</v>
      </c>
      <c r="E168" s="63">
        <f t="shared" ref="E168:G168" si="554">E153</f>
        <v>90.5</v>
      </c>
      <c r="F168" s="63">
        <f t="shared" si="554"/>
        <v>160</v>
      </c>
      <c r="G168" s="63">
        <f t="shared" si="554"/>
        <v>25</v>
      </c>
      <c r="H168" s="146">
        <f t="shared" ref="H168:H172" si="555">DEGREES(ACOS((F168-D168)/2/(E168+2)))</f>
        <v>45.35575357427485</v>
      </c>
      <c r="I168" s="20"/>
      <c r="J168" s="63"/>
      <c r="K168" s="69">
        <f t="shared" ref="K168:K172" si="556">H168-H$173</f>
        <v>1.5940108815950538</v>
      </c>
      <c r="L168" s="63">
        <f>P153</f>
        <v>65.812232905440908</v>
      </c>
      <c r="M168" s="41">
        <f t="shared" ref="M168:M172" si="557">L168-L$173</f>
        <v>3.5627349154972592</v>
      </c>
      <c r="N168" s="3"/>
      <c r="O168" s="3"/>
      <c r="P168" s="23">
        <f t="shared" ref="P168:P171" si="558">P$173</f>
        <v>1</v>
      </c>
      <c r="Q168" s="20">
        <f t="shared" ref="Q168:Q178" si="559">B168 *P168</f>
        <v>183</v>
      </c>
      <c r="R168" s="23">
        <f>R$173</f>
        <v>0.3</v>
      </c>
      <c r="S168" s="3">
        <f>Q168*R168</f>
        <v>54.9</v>
      </c>
      <c r="T168" s="3">
        <f>S168/2</f>
        <v>27.45</v>
      </c>
      <c r="U168" s="3">
        <f t="shared" ref="U168:U178" si="560">F168/2 -S168/2</f>
        <v>52.55</v>
      </c>
      <c r="V168" s="3"/>
      <c r="W168" s="3">
        <f t="shared" ref="W168:W172" si="561">COS(RADIANS(17))*((Q168-S168)/2 -8)</f>
        <v>53.600881571728131</v>
      </c>
      <c r="X168" s="61">
        <f>X$173-M168</f>
        <v>28.967507339327831</v>
      </c>
      <c r="Y168" s="3">
        <f>SQRT(X168*X168+U168*U168)</f>
        <v>60.005157957079085</v>
      </c>
      <c r="Z168" s="51">
        <f>DEGREES(ASIN(X168/Y168))</f>
        <v>28.865182312874492</v>
      </c>
      <c r="AA168" s="51">
        <f t="shared" ref="AA168:AA178" si="562">DEGREES(ACOS(((E168+2)*(E168+2)+(Y168*Y168)-(W168*W168))/(2*(E168+2)*(Y168))))</f>
        <v>33.247739349185338</v>
      </c>
      <c r="AB168" s="4">
        <f t="shared" ref="AB168:AB178" si="563">Z168+AA168</f>
        <v>62.112921662059833</v>
      </c>
      <c r="AC168" s="121">
        <f t="shared" ref="AC168:AC172" si="564">AB168-AB$173</f>
        <v>-5.2356951907129314</v>
      </c>
      <c r="AD168" s="121">
        <f>AB168+H168</f>
        <v>107.46867523633469</v>
      </c>
      <c r="AE168" s="149">
        <f t="shared" ref="AE168:AE178" si="565">H168+AB168-I$173</f>
        <v>-3.6416843091178777</v>
      </c>
      <c r="AG168" s="128">
        <f>E153</f>
        <v>90.5</v>
      </c>
      <c r="AH168" s="128">
        <f t="shared" ref="AH168:AH178" si="566">AC168</f>
        <v>-5.2356951907129314</v>
      </c>
      <c r="AI168" s="128">
        <f>K168</f>
        <v>1.5940108815950538</v>
      </c>
      <c r="AJ168" s="128">
        <f t="shared" ref="AJ168:AJ178" si="567">AE168</f>
        <v>-3.6416843091178777</v>
      </c>
      <c r="AK168" s="128">
        <f>Q153</f>
        <v>-3.5627349154972592</v>
      </c>
      <c r="AM168" s="134">
        <f t="shared" ref="AM168:AM178" si="568">AG168/AG168-1</f>
        <v>0</v>
      </c>
      <c r="AN168" s="135">
        <f t="shared" ref="AN168:AN178" si="569">AB168/AB$173-1</f>
        <v>-7.774020366533152E-2</v>
      </c>
      <c r="AO168" s="135">
        <f t="shared" ref="AO168:AO178" si="570">H168/H$173-1</f>
        <v>3.6424757871027058E-2</v>
      </c>
      <c r="AP168" s="134">
        <f t="shared" ref="AP168:AP178" si="571">AD168/AD$173-1</f>
        <v>-3.2775380477714444E-2</v>
      </c>
      <c r="AQ168" s="134">
        <f t="shared" ref="AQ168:AQ178" si="572">(Q153+60)/(Q$158+60) -1</f>
        <v>-5.9378915258287646E-2</v>
      </c>
      <c r="AS168" s="61">
        <f t="shared" ref="AS168:AS178" si="573">L168+X168</f>
        <v>94.779740244768732</v>
      </c>
    </row>
    <row r="169" spans="1:45">
      <c r="B169" s="20">
        <f t="shared" ref="B169:B178" si="574">B154</f>
        <v>183</v>
      </c>
      <c r="C169" s="18">
        <f t="shared" si="553"/>
        <v>162.89629500000001</v>
      </c>
      <c r="D169" s="140">
        <f t="shared" ref="D169:G169" si="575">D154</f>
        <v>30</v>
      </c>
      <c r="E169" s="63">
        <f t="shared" si="575"/>
        <v>90</v>
      </c>
      <c r="F169" s="63">
        <f t="shared" si="575"/>
        <v>160</v>
      </c>
      <c r="G169" s="63">
        <f t="shared" si="575"/>
        <v>24</v>
      </c>
      <c r="H169" s="146">
        <f t="shared" si="555"/>
        <v>45.047385472527786</v>
      </c>
      <c r="I169" s="20"/>
      <c r="J169" s="63"/>
      <c r="K169" s="69">
        <f t="shared" si="556"/>
        <v>1.2856427798479899</v>
      </c>
      <c r="L169" s="63">
        <f t="shared" ref="L169:L178" si="576">P154</f>
        <v>65.107603242632123</v>
      </c>
      <c r="M169" s="41">
        <f t="shared" si="557"/>
        <v>2.8581052526884747</v>
      </c>
      <c r="N169" s="3"/>
      <c r="O169" s="3"/>
      <c r="P169" s="23">
        <f t="shared" si="558"/>
        <v>1</v>
      </c>
      <c r="Q169" s="20">
        <f t="shared" si="559"/>
        <v>183</v>
      </c>
      <c r="R169" s="23">
        <f t="shared" ref="R169:R172" si="577">R$173</f>
        <v>0.3</v>
      </c>
      <c r="S169" s="3">
        <f>Q169*R169</f>
        <v>54.9</v>
      </c>
      <c r="T169" s="3">
        <f>S169/2</f>
        <v>27.45</v>
      </c>
      <c r="U169" s="3">
        <f t="shared" si="560"/>
        <v>52.55</v>
      </c>
      <c r="V169" s="3"/>
      <c r="W169" s="3">
        <f t="shared" si="561"/>
        <v>53.600881571728131</v>
      </c>
      <c r="X169" s="61">
        <f t="shared" ref="X169:X172" si="578">X$173-M169</f>
        <v>29.672137002136616</v>
      </c>
      <c r="Y169" s="3">
        <f>SQRT(X169*X169+U169*U169)</f>
        <v>60.348473172679064</v>
      </c>
      <c r="Z169" s="51">
        <f>DEGREES(ASIN(X169/Y169))</f>
        <v>29.451062717470727</v>
      </c>
      <c r="AA169" s="51">
        <f t="shared" si="562"/>
        <v>33.74864273472685</v>
      </c>
      <c r="AB169" s="4">
        <f t="shared" si="563"/>
        <v>63.199705452197577</v>
      </c>
      <c r="AC169" s="121">
        <f t="shared" si="564"/>
        <v>-4.1489114005751873</v>
      </c>
      <c r="AD169" s="121">
        <f t="shared" ref="AD169:AD178" si="579">AB169+H169</f>
        <v>108.24709092472537</v>
      </c>
      <c r="AE169" s="149">
        <f t="shared" si="565"/>
        <v>-2.8632686207271973</v>
      </c>
      <c r="AG169" s="128">
        <f t="shared" ref="AG169:AG178" si="580">E154</f>
        <v>90</v>
      </c>
      <c r="AH169" s="128">
        <f t="shared" si="566"/>
        <v>-4.1489114005751873</v>
      </c>
      <c r="AI169" s="128">
        <f t="shared" ref="AI169:AI178" si="581">K169</f>
        <v>1.2856427798479899</v>
      </c>
      <c r="AJ169" s="128">
        <f t="shared" si="567"/>
        <v>-2.8632686207271973</v>
      </c>
      <c r="AK169" s="128">
        <f t="shared" ref="AK169:AK178" si="582">Q154</f>
        <v>-2.8581052526884747</v>
      </c>
      <c r="AM169" s="134">
        <f t="shared" si="568"/>
        <v>0</v>
      </c>
      <c r="AN169" s="135">
        <f t="shared" si="569"/>
        <v>-6.1603513100275009E-2</v>
      </c>
      <c r="AO169" s="135">
        <f t="shared" si="570"/>
        <v>2.9378235434464273E-2</v>
      </c>
      <c r="AP169" s="134">
        <f t="shared" si="571"/>
        <v>-2.5769591894407418E-2</v>
      </c>
      <c r="AQ169" s="134">
        <f t="shared" si="572"/>
        <v>-4.7635087544807941E-2</v>
      </c>
      <c r="AS169" s="61">
        <f t="shared" si="573"/>
        <v>94.779740244768732</v>
      </c>
    </row>
    <row r="170" spans="1:45">
      <c r="B170" s="20">
        <f t="shared" si="574"/>
        <v>183</v>
      </c>
      <c r="C170" s="18">
        <f t="shared" si="553"/>
        <v>162.89629500000001</v>
      </c>
      <c r="D170" s="140">
        <f t="shared" ref="D170:G170" si="583">D155</f>
        <v>30</v>
      </c>
      <c r="E170" s="63">
        <f t="shared" si="583"/>
        <v>89.5</v>
      </c>
      <c r="F170" s="63">
        <f t="shared" si="583"/>
        <v>160</v>
      </c>
      <c r="G170" s="63">
        <f t="shared" si="583"/>
        <v>23</v>
      </c>
      <c r="H170" s="146">
        <f t="shared" si="555"/>
        <v>44.733953782416926</v>
      </c>
      <c r="I170" s="20"/>
      <c r="J170" s="63"/>
      <c r="K170" s="69">
        <f t="shared" si="556"/>
        <v>0.97221108973712944</v>
      </c>
      <c r="L170" s="63">
        <f t="shared" si="576"/>
        <v>64.399145957069948</v>
      </c>
      <c r="M170" s="41">
        <f t="shared" si="557"/>
        <v>2.1496479671262989</v>
      </c>
      <c r="N170" s="3"/>
      <c r="O170" s="3"/>
      <c r="P170" s="23">
        <f t="shared" si="558"/>
        <v>1</v>
      </c>
      <c r="Q170" s="20">
        <f t="shared" si="559"/>
        <v>183</v>
      </c>
      <c r="R170" s="23">
        <f t="shared" si="577"/>
        <v>0.3</v>
      </c>
      <c r="S170" s="3">
        <f t="shared" ref="S170:S172" si="584">Q170*R170</f>
        <v>54.9</v>
      </c>
      <c r="T170" s="3">
        <f t="shared" ref="T170:T172" si="585">S170/2</f>
        <v>27.45</v>
      </c>
      <c r="U170" s="3">
        <f t="shared" si="560"/>
        <v>52.55</v>
      </c>
      <c r="V170" s="3"/>
      <c r="W170" s="3">
        <f t="shared" si="561"/>
        <v>53.600881571728131</v>
      </c>
      <c r="X170" s="61">
        <f t="shared" si="578"/>
        <v>30.380594287698791</v>
      </c>
      <c r="Y170" s="3">
        <f>SQRT(X170*X170+U170*U170)</f>
        <v>60.699942415736743</v>
      </c>
      <c r="Z170" s="51">
        <f>DEGREES(ASIN(X170/Y170))</f>
        <v>30.033383023249748</v>
      </c>
      <c r="AA170" s="51">
        <f t="shared" si="562"/>
        <v>34.233081479482621</v>
      </c>
      <c r="AB170" s="4">
        <f t="shared" si="563"/>
        <v>64.266464502732362</v>
      </c>
      <c r="AC170" s="121">
        <f t="shared" si="564"/>
        <v>-3.0821523500404027</v>
      </c>
      <c r="AD170" s="121">
        <f t="shared" si="579"/>
        <v>109.00041828514929</v>
      </c>
      <c r="AE170" s="149">
        <f t="shared" si="565"/>
        <v>-2.1099412603032732</v>
      </c>
      <c r="AG170" s="128">
        <f t="shared" si="580"/>
        <v>89.5</v>
      </c>
      <c r="AH170" s="128">
        <f t="shared" si="566"/>
        <v>-3.0821523500404027</v>
      </c>
      <c r="AI170" s="128">
        <f t="shared" si="581"/>
        <v>0.97221108973712944</v>
      </c>
      <c r="AJ170" s="128">
        <f t="shared" si="567"/>
        <v>-2.1099412603032732</v>
      </c>
      <c r="AK170" s="128">
        <f t="shared" si="582"/>
        <v>-2.1496479671262989</v>
      </c>
      <c r="AM170" s="134">
        <f t="shared" si="568"/>
        <v>0</v>
      </c>
      <c r="AN170" s="135">
        <f t="shared" si="569"/>
        <v>-4.5764152169273653E-2</v>
      </c>
      <c r="AO170" s="135">
        <f t="shared" si="570"/>
        <v>2.2216004891865371E-2</v>
      </c>
      <c r="AP170" s="134">
        <f t="shared" si="571"/>
        <v>-1.8989599790108946E-2</v>
      </c>
      <c r="AQ170" s="134">
        <f t="shared" si="572"/>
        <v>-3.5827466118771634E-2</v>
      </c>
      <c r="AS170" s="61">
        <f t="shared" si="573"/>
        <v>94.779740244768732</v>
      </c>
    </row>
    <row r="171" spans="1:45">
      <c r="B171" s="20">
        <f t="shared" si="574"/>
        <v>183</v>
      </c>
      <c r="C171" s="18">
        <f t="shared" si="553"/>
        <v>162.89629500000001</v>
      </c>
      <c r="D171" s="140">
        <f t="shared" ref="D171:G171" si="586">D156</f>
        <v>30</v>
      </c>
      <c r="E171" s="63">
        <f t="shared" si="586"/>
        <v>89</v>
      </c>
      <c r="F171" s="63">
        <f t="shared" si="586"/>
        <v>160</v>
      </c>
      <c r="G171" s="63">
        <f t="shared" si="586"/>
        <v>22</v>
      </c>
      <c r="H171" s="146">
        <f t="shared" si="555"/>
        <v>44.415308597192968</v>
      </c>
      <c r="I171" s="20"/>
      <c r="J171" s="63"/>
      <c r="K171" s="69">
        <f t="shared" si="556"/>
        <v>0.65356590451317231</v>
      </c>
      <c r="L171" s="63">
        <f t="shared" si="576"/>
        <v>63.686733312362612</v>
      </c>
      <c r="M171" s="41">
        <f t="shared" si="557"/>
        <v>1.4372353224189638</v>
      </c>
      <c r="N171" s="3"/>
      <c r="O171" s="3"/>
      <c r="P171" s="23">
        <f t="shared" si="558"/>
        <v>1</v>
      </c>
      <c r="Q171" s="20">
        <f t="shared" si="559"/>
        <v>183</v>
      </c>
      <c r="R171" s="23">
        <f t="shared" si="577"/>
        <v>0.3</v>
      </c>
      <c r="S171" s="3">
        <f t="shared" si="584"/>
        <v>54.9</v>
      </c>
      <c r="T171" s="3">
        <f t="shared" si="585"/>
        <v>27.45</v>
      </c>
      <c r="U171" s="3">
        <f t="shared" si="560"/>
        <v>52.55</v>
      </c>
      <c r="V171" s="3"/>
      <c r="W171" s="3">
        <f t="shared" si="561"/>
        <v>53.600881571728131</v>
      </c>
      <c r="X171" s="61">
        <f t="shared" si="578"/>
        <v>31.093006932406126</v>
      </c>
      <c r="Y171" s="3">
        <f t="shared" ref="Y171:Y172" si="587">SQRT(X171*X171+U171*U171)</f>
        <v>61.059623157194928</v>
      </c>
      <c r="Z171" s="51">
        <f t="shared" ref="Z171:Z172" si="588">DEGREES(ASIN(X171/Y171))</f>
        <v>30.612134295428792</v>
      </c>
      <c r="AA171" s="51">
        <f t="shared" si="562"/>
        <v>34.701281457647596</v>
      </c>
      <c r="AB171" s="4">
        <f t="shared" si="563"/>
        <v>65.313415753076384</v>
      </c>
      <c r="AC171" s="121">
        <f t="shared" si="564"/>
        <v>-2.0352010996963799</v>
      </c>
      <c r="AD171" s="121">
        <f t="shared" si="579"/>
        <v>109.72872435026935</v>
      </c>
      <c r="AE171" s="149">
        <f t="shared" si="565"/>
        <v>-1.3816351951832218</v>
      </c>
      <c r="AG171" s="128">
        <f t="shared" si="580"/>
        <v>89</v>
      </c>
      <c r="AH171" s="128">
        <f t="shared" si="566"/>
        <v>-2.0352010996963799</v>
      </c>
      <c r="AI171" s="128">
        <f t="shared" si="581"/>
        <v>0.65356590451317231</v>
      </c>
      <c r="AJ171" s="128">
        <f t="shared" si="567"/>
        <v>-1.3816351951832218</v>
      </c>
      <c r="AK171" s="128">
        <f t="shared" si="582"/>
        <v>-1.4372353224189638</v>
      </c>
      <c r="AM171" s="134">
        <f t="shared" si="568"/>
        <v>0</v>
      </c>
      <c r="AN171" s="135">
        <f t="shared" si="569"/>
        <v>-3.0218899731013438E-2</v>
      </c>
      <c r="AO171" s="135">
        <f t="shared" si="570"/>
        <v>1.4934640722671588E-2</v>
      </c>
      <c r="AP171" s="134">
        <f t="shared" si="571"/>
        <v>-1.2434800866772622E-2</v>
      </c>
      <c r="AQ171" s="134">
        <f t="shared" si="572"/>
        <v>-2.39539220403161E-2</v>
      </c>
      <c r="AS171" s="61">
        <f t="shared" si="573"/>
        <v>94.779740244768732</v>
      </c>
    </row>
    <row r="172" spans="1:45">
      <c r="B172" s="20">
        <f t="shared" si="574"/>
        <v>183</v>
      </c>
      <c r="C172" s="18">
        <f t="shared" si="553"/>
        <v>162.89629500000001</v>
      </c>
      <c r="D172" s="140">
        <f t="shared" ref="D172:G172" si="589">D157</f>
        <v>30</v>
      </c>
      <c r="E172" s="63">
        <f t="shared" si="589"/>
        <v>88.5</v>
      </c>
      <c r="F172" s="63">
        <f t="shared" si="589"/>
        <v>160</v>
      </c>
      <c r="G172" s="63">
        <f t="shared" si="589"/>
        <v>21</v>
      </c>
      <c r="H172" s="146">
        <f t="shared" si="555"/>
        <v>44.091293018872854</v>
      </c>
      <c r="I172" s="20"/>
      <c r="J172" s="63"/>
      <c r="K172" s="69">
        <f t="shared" si="556"/>
        <v>0.32955032619305769</v>
      </c>
      <c r="L172" s="63">
        <f t="shared" si="576"/>
        <v>62.97023106198673</v>
      </c>
      <c r="M172" s="41">
        <f t="shared" si="557"/>
        <v>0.72073307204308179</v>
      </c>
      <c r="N172" s="3"/>
      <c r="O172" s="3"/>
      <c r="P172" s="23">
        <f>P$173</f>
        <v>1</v>
      </c>
      <c r="Q172" s="20">
        <f t="shared" si="559"/>
        <v>183</v>
      </c>
      <c r="R172" s="23">
        <f t="shared" si="577"/>
        <v>0.3</v>
      </c>
      <c r="S172" s="3">
        <f t="shared" si="584"/>
        <v>54.9</v>
      </c>
      <c r="T172" s="3">
        <f t="shared" si="585"/>
        <v>27.45</v>
      </c>
      <c r="U172" s="3">
        <f t="shared" si="560"/>
        <v>52.55</v>
      </c>
      <c r="V172" s="3"/>
      <c r="W172" s="3">
        <f t="shared" si="561"/>
        <v>53.600881571728131</v>
      </c>
      <c r="X172" s="61">
        <f t="shared" si="578"/>
        <v>31.809509182782008</v>
      </c>
      <c r="Y172" s="3">
        <f t="shared" si="587"/>
        <v>61.427578288985906</v>
      </c>
      <c r="Z172" s="51">
        <f t="shared" si="588"/>
        <v>31.187312859540548</v>
      </c>
      <c r="AA172" s="51">
        <f t="shared" si="562"/>
        <v>35.15343353159485</v>
      </c>
      <c r="AB172" s="4">
        <f t="shared" si="563"/>
        <v>66.340746391135397</v>
      </c>
      <c r="AC172" s="121">
        <f t="shared" si="564"/>
        <v>-1.007870461637367</v>
      </c>
      <c r="AD172" s="121">
        <f t="shared" si="579"/>
        <v>110.43203941000826</v>
      </c>
      <c r="AE172" s="149">
        <f t="shared" si="565"/>
        <v>-0.67832013544430936</v>
      </c>
      <c r="AG172" s="128">
        <f t="shared" si="580"/>
        <v>88.5</v>
      </c>
      <c r="AH172" s="128">
        <f t="shared" si="566"/>
        <v>-1.007870461637367</v>
      </c>
      <c r="AI172" s="128">
        <f t="shared" si="581"/>
        <v>0.32955032619305769</v>
      </c>
      <c r="AJ172" s="128">
        <f t="shared" si="567"/>
        <v>-0.67832013544430936</v>
      </c>
      <c r="AK172" s="128">
        <f t="shared" si="582"/>
        <v>-0.72073307204308179</v>
      </c>
      <c r="AM172" s="134">
        <f t="shared" si="568"/>
        <v>0</v>
      </c>
      <c r="AN172" s="135">
        <f t="shared" si="569"/>
        <v>-1.4964976397965568E-2</v>
      </c>
      <c r="AO172" s="135">
        <f t="shared" si="570"/>
        <v>7.53055764957411E-3</v>
      </c>
      <c r="AP172" s="134">
        <f t="shared" si="571"/>
        <v>-6.1049225132496776E-3</v>
      </c>
      <c r="AQ172" s="134">
        <f t="shared" si="572"/>
        <v>-1.2012217867384711E-2</v>
      </c>
      <c r="AS172" s="61">
        <f t="shared" si="573"/>
        <v>94.779740244768732</v>
      </c>
    </row>
    <row r="173" spans="1:45" s="15" customFormat="1">
      <c r="B173" s="38">
        <f t="shared" si="574"/>
        <v>183</v>
      </c>
      <c r="C173" s="37">
        <f>100*(0.297865*B173/100+1.08387)</f>
        <v>162.89629500000001</v>
      </c>
      <c r="D173" s="159">
        <f t="shared" ref="D173:G173" si="590">D158</f>
        <v>30</v>
      </c>
      <c r="E173" s="40">
        <f t="shared" si="590"/>
        <v>88</v>
      </c>
      <c r="F173" s="40">
        <f t="shared" si="590"/>
        <v>160</v>
      </c>
      <c r="G173" s="40">
        <f t="shared" si="590"/>
        <v>20</v>
      </c>
      <c r="H173" s="40">
        <f>DEGREES(ACOS((F173-D173)/2/(E173+2)))</f>
        <v>43.761742692679796</v>
      </c>
      <c r="I173" s="120">
        <f>DEGREES(C173/(E173-6+2))</f>
        <v>111.11035954545257</v>
      </c>
      <c r="J173" s="40">
        <f>I173-H173</f>
        <v>67.348616852772778</v>
      </c>
      <c r="K173" s="70">
        <f>H173-H$173</f>
        <v>0</v>
      </c>
      <c r="L173" s="40">
        <f t="shared" si="576"/>
        <v>62.249497989943649</v>
      </c>
      <c r="M173" s="41">
        <f>L173-L$173</f>
        <v>0</v>
      </c>
      <c r="N173" s="39">
        <f>(E173+2)*SIN(RADIANS(J173))</f>
        <v>83.057868711361749</v>
      </c>
      <c r="O173" s="39">
        <f>(F173/2)- (E173+2)*COS(RADIANS(J173))</f>
        <v>45.338920312168661</v>
      </c>
      <c r="P173" s="42">
        <v>1</v>
      </c>
      <c r="Q173" s="43">
        <f t="shared" si="559"/>
        <v>183</v>
      </c>
      <c r="R173" s="42">
        <v>0.3</v>
      </c>
      <c r="S173" s="39">
        <f>Q173*R173</f>
        <v>54.9</v>
      </c>
      <c r="T173" s="39">
        <f>S173/2</f>
        <v>27.45</v>
      </c>
      <c r="U173" s="39">
        <f t="shared" si="560"/>
        <v>52.55</v>
      </c>
      <c r="V173" s="39">
        <f>O173-T173</f>
        <v>17.888920312168661</v>
      </c>
      <c r="W173" s="39">
        <f>COS(RADIANS(17))*((Q173-S173)/2-8)</f>
        <v>53.600881571728131</v>
      </c>
      <c r="X173" s="40">
        <f xml:space="preserve"> N173- SQRT(W173*W173-V173*V173)</f>
        <v>32.53024225482509</v>
      </c>
      <c r="Y173" s="39">
        <f>SQRT(X173*X173+U173*U173)</f>
        <v>61.803876586809722</v>
      </c>
      <c r="Z173" s="70">
        <f>DEGREES(ASIN(X173/Y173))</f>
        <v>31.75892033135543</v>
      </c>
      <c r="AA173" s="70">
        <f t="shared" si="562"/>
        <v>35.589696521417338</v>
      </c>
      <c r="AB173" s="52">
        <f t="shared" si="563"/>
        <v>67.348616852772764</v>
      </c>
      <c r="AC173" s="70">
        <f>AB173-AB$173</f>
        <v>0</v>
      </c>
      <c r="AD173" s="70">
        <f t="shared" si="579"/>
        <v>111.11035954545255</v>
      </c>
      <c r="AE173" s="71">
        <f t="shared" si="565"/>
        <v>0</v>
      </c>
      <c r="AG173" s="148">
        <f t="shared" si="580"/>
        <v>88</v>
      </c>
      <c r="AH173" s="148">
        <f t="shared" si="566"/>
        <v>0</v>
      </c>
      <c r="AI173" s="148">
        <f t="shared" si="581"/>
        <v>0</v>
      </c>
      <c r="AJ173" s="148">
        <f t="shared" si="567"/>
        <v>0</v>
      </c>
      <c r="AK173" s="148">
        <f t="shared" si="582"/>
        <v>0</v>
      </c>
      <c r="AM173" s="150">
        <f t="shared" si="568"/>
        <v>0</v>
      </c>
      <c r="AN173" s="151">
        <f t="shared" si="569"/>
        <v>0</v>
      </c>
      <c r="AO173" s="151">
        <f t="shared" si="570"/>
        <v>0</v>
      </c>
      <c r="AP173" s="150">
        <f t="shared" si="571"/>
        <v>0</v>
      </c>
      <c r="AQ173" s="150">
        <f t="shared" si="572"/>
        <v>0</v>
      </c>
      <c r="AS173" s="61">
        <f t="shared" si="573"/>
        <v>94.779740244768732</v>
      </c>
    </row>
    <row r="174" spans="1:45">
      <c r="A174" s="5"/>
      <c r="B174" s="20">
        <f t="shared" si="574"/>
        <v>183</v>
      </c>
      <c r="C174" s="18">
        <f t="shared" ref="C174:C178" si="591">100*(0.297865*B174/100+1.08387)</f>
        <v>162.89629500000001</v>
      </c>
      <c r="D174" s="140">
        <f t="shared" ref="D174:G174" si="592">D159</f>
        <v>30</v>
      </c>
      <c r="E174" s="63">
        <f t="shared" si="592"/>
        <v>87.5</v>
      </c>
      <c r="F174" s="63">
        <f t="shared" si="592"/>
        <v>160</v>
      </c>
      <c r="G174" s="63">
        <f t="shared" si="592"/>
        <v>19</v>
      </c>
      <c r="H174" s="146">
        <f t="shared" ref="H174:H178" si="593">DEGREES(ACOS((F174-D174)/2/(E174+2)))</f>
        <v>43.426485300369002</v>
      </c>
      <c r="I174" s="20"/>
      <c r="J174" s="63"/>
      <c r="K174" s="69">
        <f t="shared" ref="K174:K178" si="594">H174-H$173</f>
        <v>-0.33525739231079399</v>
      </c>
      <c r="L174" s="63">
        <f t="shared" si="576"/>
        <v>61.524385409364307</v>
      </c>
      <c r="M174" s="41">
        <f t="shared" ref="M174:M178" si="595">L174-L$173</f>
        <v>-0.72511258057934214</v>
      </c>
      <c r="N174" s="3"/>
      <c r="O174" s="3"/>
      <c r="P174" s="23">
        <f t="shared" ref="P174:P177" si="596">P$173</f>
        <v>1</v>
      </c>
      <c r="Q174" s="20">
        <f t="shared" si="559"/>
        <v>183</v>
      </c>
      <c r="R174" s="23">
        <f>R$173</f>
        <v>0.3</v>
      </c>
      <c r="S174" s="3">
        <f>Q174*R174</f>
        <v>54.9</v>
      </c>
      <c r="T174" s="3">
        <f>S174/2</f>
        <v>27.45</v>
      </c>
      <c r="U174" s="3">
        <f t="shared" si="560"/>
        <v>52.55</v>
      </c>
      <c r="V174" s="3"/>
      <c r="W174" s="3">
        <f t="shared" ref="W174:W178" si="597">COS(RADIANS(17))*((Q174-S174)/2 -8)</f>
        <v>53.600881571728131</v>
      </c>
      <c r="X174" s="3">
        <f>X$173-M174</f>
        <v>33.255354835404432</v>
      </c>
      <c r="Y174" s="3">
        <f>SQRT(X174*X174+U174*U174)</f>
        <v>62.188593208309968</v>
      </c>
      <c r="Z174" s="51">
        <f>DEGREES(ASIN(X174/Y174))</f>
        <v>32.326963653005457</v>
      </c>
      <c r="AA174" s="51">
        <f t="shared" si="562"/>
        <v>36.010199672240596</v>
      </c>
      <c r="AB174" s="4">
        <f t="shared" si="563"/>
        <v>68.337163325246053</v>
      </c>
      <c r="AC174" s="121">
        <f t="shared" ref="AC174:AC178" si="598">AB174-AB$173</f>
        <v>0.98854647247328842</v>
      </c>
      <c r="AD174" s="121">
        <f t="shared" si="579"/>
        <v>111.76364862561505</v>
      </c>
      <c r="AE174" s="149">
        <f t="shared" si="565"/>
        <v>0.65328908016248022</v>
      </c>
      <c r="AG174" s="128">
        <f t="shared" si="580"/>
        <v>87.5</v>
      </c>
      <c r="AH174" s="128">
        <f t="shared" si="566"/>
        <v>0.98854647247328842</v>
      </c>
      <c r="AI174" s="128">
        <f t="shared" si="581"/>
        <v>-0.33525739231079399</v>
      </c>
      <c r="AJ174" s="128">
        <f t="shared" si="567"/>
        <v>0.65328908016248022</v>
      </c>
      <c r="AK174" s="128">
        <f t="shared" si="582"/>
        <v>0.72511258057934214</v>
      </c>
      <c r="AM174" s="134">
        <f t="shared" si="568"/>
        <v>0</v>
      </c>
      <c r="AN174" s="135">
        <f t="shared" si="569"/>
        <v>1.4678051586928698E-2</v>
      </c>
      <c r="AO174" s="135">
        <f t="shared" si="570"/>
        <v>-7.6609698719076746E-3</v>
      </c>
      <c r="AP174" s="134">
        <f t="shared" si="571"/>
        <v>5.8796414918920181E-3</v>
      </c>
      <c r="AQ174" s="134">
        <f t="shared" si="572"/>
        <v>1.2085209676322428E-2</v>
      </c>
      <c r="AS174" s="61">
        <f t="shared" si="573"/>
        <v>94.779740244768732</v>
      </c>
    </row>
    <row r="175" spans="1:45">
      <c r="B175" s="20">
        <f t="shared" si="574"/>
        <v>183</v>
      </c>
      <c r="C175" s="18">
        <f t="shared" si="591"/>
        <v>162.89629500000001</v>
      </c>
      <c r="D175" s="140">
        <f t="shared" ref="D175:G175" si="599">D160</f>
        <v>30</v>
      </c>
      <c r="E175" s="63">
        <f t="shared" si="599"/>
        <v>87</v>
      </c>
      <c r="F175" s="63">
        <f t="shared" si="599"/>
        <v>160</v>
      </c>
      <c r="G175" s="63">
        <f t="shared" si="599"/>
        <v>18</v>
      </c>
      <c r="H175" s="146">
        <f t="shared" si="593"/>
        <v>43.085340007870563</v>
      </c>
      <c r="I175" s="20"/>
      <c r="J175" s="63"/>
      <c r="K175" s="69">
        <f t="shared" si="594"/>
        <v>-0.67640268480923282</v>
      </c>
      <c r="L175" s="63">
        <f t="shared" si="576"/>
        <v>60.794736614282648</v>
      </c>
      <c r="M175" s="41">
        <f t="shared" si="595"/>
        <v>-1.4547613756610005</v>
      </c>
      <c r="N175" s="3"/>
      <c r="O175" s="3"/>
      <c r="P175" s="23">
        <f t="shared" si="596"/>
        <v>1</v>
      </c>
      <c r="Q175" s="20">
        <f t="shared" si="559"/>
        <v>183</v>
      </c>
      <c r="R175" s="23">
        <f t="shared" ref="R175:R178" si="600">R$173</f>
        <v>0.3</v>
      </c>
      <c r="S175" s="3">
        <f>Q175*R175</f>
        <v>54.9</v>
      </c>
      <c r="T175" s="3">
        <f>S175/2</f>
        <v>27.45</v>
      </c>
      <c r="U175" s="3">
        <f t="shared" si="560"/>
        <v>52.55</v>
      </c>
      <c r="V175" s="3"/>
      <c r="W175" s="3">
        <f t="shared" si="597"/>
        <v>53.600881571728131</v>
      </c>
      <c r="X175" s="61">
        <f t="shared" ref="X175:X178" si="601">X$173-M175</f>
        <v>33.985003630486091</v>
      </c>
      <c r="Y175" s="3">
        <f>SQRT(X175*X175+U175*U175)</f>
        <v>62.581810230802304</v>
      </c>
      <c r="Z175" s="51">
        <f>DEGREES(ASIN(X175/Y175))</f>
        <v>32.891455136936464</v>
      </c>
      <c r="AA175" s="51">
        <f t="shared" si="562"/>
        <v>36.415044687764777</v>
      </c>
      <c r="AB175" s="4">
        <f t="shared" si="563"/>
        <v>69.306499824701234</v>
      </c>
      <c r="AC175" s="121">
        <f t="shared" si="598"/>
        <v>1.9578829719284698</v>
      </c>
      <c r="AD175" s="121">
        <f t="shared" si="579"/>
        <v>112.3918398325718</v>
      </c>
      <c r="AE175" s="149">
        <f t="shared" si="565"/>
        <v>1.281480287119237</v>
      </c>
      <c r="AG175" s="128">
        <f t="shared" si="580"/>
        <v>87</v>
      </c>
      <c r="AH175" s="128">
        <f t="shared" si="566"/>
        <v>1.9578829719284698</v>
      </c>
      <c r="AI175" s="128">
        <f t="shared" si="581"/>
        <v>-0.67640268480923282</v>
      </c>
      <c r="AJ175" s="128">
        <f t="shared" si="567"/>
        <v>1.281480287119237</v>
      </c>
      <c r="AK175" s="128">
        <f t="shared" si="582"/>
        <v>1.4547613756610005</v>
      </c>
      <c r="AM175" s="134">
        <f t="shared" si="568"/>
        <v>0</v>
      </c>
      <c r="AN175" s="135">
        <f t="shared" si="569"/>
        <v>2.9070871287653732E-2</v>
      </c>
      <c r="AO175" s="135">
        <f t="shared" si="570"/>
        <v>-1.5456484207206356E-2</v>
      </c>
      <c r="AP175" s="134">
        <f t="shared" si="571"/>
        <v>1.1533400597043553E-2</v>
      </c>
      <c r="AQ175" s="134">
        <f t="shared" si="572"/>
        <v>2.4246022927683297E-2</v>
      </c>
      <c r="AS175" s="61">
        <f t="shared" si="573"/>
        <v>94.779740244768732</v>
      </c>
    </row>
    <row r="176" spans="1:45">
      <c r="B176" s="20">
        <f t="shared" si="574"/>
        <v>183</v>
      </c>
      <c r="C176" s="18">
        <f t="shared" si="591"/>
        <v>162.89629500000001</v>
      </c>
      <c r="D176" s="140">
        <f t="shared" ref="D176:G176" si="602">D161</f>
        <v>30</v>
      </c>
      <c r="E176" s="63">
        <f t="shared" si="602"/>
        <v>86.5</v>
      </c>
      <c r="F176" s="63">
        <f t="shared" si="602"/>
        <v>160</v>
      </c>
      <c r="G176" s="63">
        <f t="shared" si="602"/>
        <v>17</v>
      </c>
      <c r="H176" s="146">
        <f t="shared" si="593"/>
        <v>42.738116862065233</v>
      </c>
      <c r="I176" s="20"/>
      <c r="J176" s="63"/>
      <c r="K176" s="69">
        <f t="shared" si="594"/>
        <v>-1.0236258306145629</v>
      </c>
      <c r="L176" s="63">
        <f t="shared" si="576"/>
        <v>60.060386279144097</v>
      </c>
      <c r="M176" s="41">
        <f t="shared" si="595"/>
        <v>-2.1891117107995512</v>
      </c>
      <c r="N176" s="3"/>
      <c r="O176" s="3"/>
      <c r="P176" s="23">
        <f t="shared" si="596"/>
        <v>1</v>
      </c>
      <c r="Q176" s="20">
        <f t="shared" si="559"/>
        <v>183</v>
      </c>
      <c r="R176" s="23">
        <f t="shared" si="600"/>
        <v>0.3</v>
      </c>
      <c r="S176" s="3">
        <f t="shared" ref="S176:S178" si="603">Q176*R176</f>
        <v>54.9</v>
      </c>
      <c r="T176" s="3">
        <f t="shared" ref="T176:T178" si="604">S176/2</f>
        <v>27.45</v>
      </c>
      <c r="U176" s="3">
        <f t="shared" si="560"/>
        <v>52.55</v>
      </c>
      <c r="V176" s="3"/>
      <c r="W176" s="3">
        <f t="shared" si="597"/>
        <v>53.600881571728131</v>
      </c>
      <c r="X176" s="61">
        <f t="shared" si="601"/>
        <v>34.719353965624641</v>
      </c>
      <c r="Y176" s="3">
        <f>SQRT(X176*X176+U176*U176)</f>
        <v>62.983617233295952</v>
      </c>
      <c r="Z176" s="51">
        <f>DEGREES(ASIN(X176/Y176))</f>
        <v>33.452412519464517</v>
      </c>
      <c r="AA176" s="51">
        <f t="shared" si="562"/>
        <v>36.804307384928016</v>
      </c>
      <c r="AB176" s="4">
        <f t="shared" si="563"/>
        <v>70.256719904392526</v>
      </c>
      <c r="AC176" s="121">
        <f t="shared" si="598"/>
        <v>2.9081030516197615</v>
      </c>
      <c r="AD176" s="121">
        <f t="shared" si="579"/>
        <v>112.99483676645775</v>
      </c>
      <c r="AE176" s="149">
        <f t="shared" si="565"/>
        <v>1.8844772210051843</v>
      </c>
      <c r="AG176" s="128">
        <f t="shared" si="580"/>
        <v>86.5</v>
      </c>
      <c r="AH176" s="128">
        <f t="shared" si="566"/>
        <v>2.9081030516197615</v>
      </c>
      <c r="AI176" s="128">
        <f t="shared" si="581"/>
        <v>-1.0236258306145629</v>
      </c>
      <c r="AJ176" s="128">
        <f t="shared" si="567"/>
        <v>1.8844772210051843</v>
      </c>
      <c r="AK176" s="128">
        <f t="shared" si="582"/>
        <v>2.1891117107995512</v>
      </c>
      <c r="AM176" s="134">
        <f t="shared" si="568"/>
        <v>0</v>
      </c>
      <c r="AN176" s="135">
        <f t="shared" si="569"/>
        <v>4.3179848191641668E-2</v>
      </c>
      <c r="AO176" s="135">
        <f t="shared" si="570"/>
        <v>-2.3390883626437264E-2</v>
      </c>
      <c r="AP176" s="134">
        <f t="shared" si="571"/>
        <v>1.6960409710800262E-2</v>
      </c>
      <c r="AQ176" s="134">
        <f t="shared" si="572"/>
        <v>3.6485195179992491E-2</v>
      </c>
      <c r="AS176" s="61">
        <f t="shared" si="573"/>
        <v>94.779740244768732</v>
      </c>
    </row>
    <row r="177" spans="1:45">
      <c r="B177" s="20">
        <f t="shared" si="574"/>
        <v>183</v>
      </c>
      <c r="C177" s="18">
        <f t="shared" si="591"/>
        <v>162.89629500000001</v>
      </c>
      <c r="D177" s="140">
        <f t="shared" ref="D177:G177" si="605">D162</f>
        <v>30</v>
      </c>
      <c r="E177" s="63">
        <f t="shared" si="605"/>
        <v>86</v>
      </c>
      <c r="F177" s="63">
        <f t="shared" si="605"/>
        <v>160</v>
      </c>
      <c r="G177" s="63">
        <f t="shared" si="605"/>
        <v>16</v>
      </c>
      <c r="H177" s="146">
        <f t="shared" si="593"/>
        <v>42.384616130794591</v>
      </c>
      <c r="I177" s="20"/>
      <c r="J177" s="63"/>
      <c r="K177" s="69">
        <f t="shared" si="594"/>
        <v>-1.3771265618852055</v>
      </c>
      <c r="L177" s="63">
        <f t="shared" si="576"/>
        <v>59.321159799855565</v>
      </c>
      <c r="M177" s="41">
        <f t="shared" si="595"/>
        <v>-2.928338190088084</v>
      </c>
      <c r="N177" s="3"/>
      <c r="O177" s="3"/>
      <c r="P177" s="23">
        <f t="shared" si="596"/>
        <v>1</v>
      </c>
      <c r="Q177" s="20">
        <f t="shared" si="559"/>
        <v>183</v>
      </c>
      <c r="R177" s="23">
        <f t="shared" si="600"/>
        <v>0.3</v>
      </c>
      <c r="S177" s="3">
        <f t="shared" si="603"/>
        <v>54.9</v>
      </c>
      <c r="T177" s="3">
        <f t="shared" si="604"/>
        <v>27.45</v>
      </c>
      <c r="U177" s="3">
        <f t="shared" si="560"/>
        <v>52.55</v>
      </c>
      <c r="V177" s="3"/>
      <c r="W177" s="3">
        <f t="shared" si="597"/>
        <v>53.600881571728131</v>
      </c>
      <c r="X177" s="61">
        <f t="shared" si="601"/>
        <v>35.458580444913174</v>
      </c>
      <c r="Y177" s="3">
        <f t="shared" ref="Y177:Y178" si="606">SQRT(X177*X177+U177*U177)</f>
        <v>63.39411192822547</v>
      </c>
      <c r="Z177" s="51">
        <f t="shared" ref="Z177:Z178" si="607">DEGREES(ASIN(X177/Y177))</f>
        <v>34.009859025887117</v>
      </c>
      <c r="AA177" s="51">
        <f t="shared" si="562"/>
        <v>37.178039013539617</v>
      </c>
      <c r="AB177" s="4">
        <f t="shared" si="563"/>
        <v>71.187898039426727</v>
      </c>
      <c r="AC177" s="121">
        <f t="shared" si="598"/>
        <v>3.8392811866539631</v>
      </c>
      <c r="AD177" s="121">
        <f t="shared" si="579"/>
        <v>113.57251417022133</v>
      </c>
      <c r="AE177" s="149">
        <f t="shared" si="565"/>
        <v>2.4621546247687576</v>
      </c>
      <c r="AG177" s="128">
        <f t="shared" si="580"/>
        <v>86</v>
      </c>
      <c r="AH177" s="128">
        <f t="shared" si="566"/>
        <v>3.8392811866539631</v>
      </c>
      <c r="AI177" s="128">
        <f t="shared" si="581"/>
        <v>-1.3771265618852055</v>
      </c>
      <c r="AJ177" s="128">
        <f t="shared" si="567"/>
        <v>2.4621546247687576</v>
      </c>
      <c r="AK177" s="128">
        <f t="shared" si="582"/>
        <v>2.928338190088084</v>
      </c>
      <c r="AM177" s="134">
        <f t="shared" si="568"/>
        <v>0</v>
      </c>
      <c r="AN177" s="135">
        <f t="shared" si="569"/>
        <v>5.7006088113833231E-2</v>
      </c>
      <c r="AO177" s="135">
        <f t="shared" si="570"/>
        <v>-3.1468732211058947E-2</v>
      </c>
      <c r="AP177" s="134">
        <f t="shared" si="571"/>
        <v>2.2159541512072556E-2</v>
      </c>
      <c r="AQ177" s="134">
        <f t="shared" si="572"/>
        <v>4.8805636501467964E-2</v>
      </c>
      <c r="AS177" s="61">
        <f t="shared" si="573"/>
        <v>94.779740244768732</v>
      </c>
    </row>
    <row r="178" spans="1:45">
      <c r="B178" s="20">
        <f t="shared" si="574"/>
        <v>183</v>
      </c>
      <c r="C178" s="18">
        <f t="shared" si="591"/>
        <v>162.89629500000001</v>
      </c>
      <c r="D178" s="140">
        <f t="shared" ref="D178:G178" si="608">D163</f>
        <v>30</v>
      </c>
      <c r="E178" s="63">
        <f t="shared" si="608"/>
        <v>85.5</v>
      </c>
      <c r="F178" s="63">
        <f t="shared" si="608"/>
        <v>160</v>
      </c>
      <c r="G178" s="63">
        <f t="shared" si="608"/>
        <v>15</v>
      </c>
      <c r="H178" s="146">
        <f t="shared" si="593"/>
        <v>42.024627579377224</v>
      </c>
      <c r="I178" s="20"/>
      <c r="J178" s="63"/>
      <c r="K178" s="69">
        <f t="shared" si="594"/>
        <v>-1.737115113302572</v>
      </c>
      <c r="L178" s="63">
        <f t="shared" si="576"/>
        <v>58.576872569299901</v>
      </c>
      <c r="M178" s="41">
        <f t="shared" si="595"/>
        <v>-3.6726254206437474</v>
      </c>
      <c r="N178" s="3"/>
      <c r="O178" s="3"/>
      <c r="P178" s="23">
        <f>P$173</f>
        <v>1</v>
      </c>
      <c r="Q178" s="20">
        <f t="shared" si="559"/>
        <v>183</v>
      </c>
      <c r="R178" s="23">
        <f t="shared" si="600"/>
        <v>0.3</v>
      </c>
      <c r="S178" s="3">
        <f t="shared" si="603"/>
        <v>54.9</v>
      </c>
      <c r="T178" s="3">
        <f t="shared" si="604"/>
        <v>27.45</v>
      </c>
      <c r="U178" s="3">
        <f t="shared" si="560"/>
        <v>52.55</v>
      </c>
      <c r="V178" s="3"/>
      <c r="W178" s="3">
        <f t="shared" si="597"/>
        <v>53.600881571728131</v>
      </c>
      <c r="X178" s="61">
        <f t="shared" si="601"/>
        <v>36.202867675468838</v>
      </c>
      <c r="Y178" s="3">
        <f t="shared" si="606"/>
        <v>63.813400849096787</v>
      </c>
      <c r="Z178" s="51">
        <f t="shared" si="607"/>
        <v>34.563823449301921</v>
      </c>
      <c r="AA178" s="51">
        <f t="shared" si="562"/>
        <v>37.536267275615693</v>
      </c>
      <c r="AB178" s="4">
        <f t="shared" si="563"/>
        <v>72.100090724917607</v>
      </c>
      <c r="AC178" s="121">
        <f t="shared" si="598"/>
        <v>4.7514738721448424</v>
      </c>
      <c r="AD178" s="121">
        <f t="shared" si="579"/>
        <v>114.12471830429483</v>
      </c>
      <c r="AE178" s="149">
        <f t="shared" si="565"/>
        <v>3.0143587588422633</v>
      </c>
      <c r="AG178" s="128">
        <f t="shared" si="580"/>
        <v>85.5</v>
      </c>
      <c r="AH178" s="128">
        <f t="shared" si="566"/>
        <v>4.7514738721448424</v>
      </c>
      <c r="AI178" s="128">
        <f t="shared" si="581"/>
        <v>-1.737115113302572</v>
      </c>
      <c r="AJ178" s="128">
        <f t="shared" si="567"/>
        <v>3.0143587588422633</v>
      </c>
      <c r="AK178" s="128">
        <f t="shared" si="582"/>
        <v>3.6726254206437474</v>
      </c>
      <c r="AM178" s="134">
        <f t="shared" si="568"/>
        <v>0</v>
      </c>
      <c r="AN178" s="135">
        <f t="shared" si="569"/>
        <v>7.0550429900168465E-2</v>
      </c>
      <c r="AO178" s="135">
        <f t="shared" si="570"/>
        <v>-3.9694834035783222E-2</v>
      </c>
      <c r="AP178" s="134">
        <f t="shared" si="571"/>
        <v>2.7129412335392233E-2</v>
      </c>
      <c r="AQ178" s="134">
        <f t="shared" si="572"/>
        <v>6.121042367739582E-2</v>
      </c>
      <c r="AS178" s="61">
        <f t="shared" si="573"/>
        <v>94.779740244768732</v>
      </c>
    </row>
    <row r="179" spans="1:45" s="12" customFormat="1">
      <c r="B179" s="5"/>
      <c r="C179" s="13"/>
      <c r="D179" s="5"/>
      <c r="E179" s="5"/>
      <c r="F179" s="5"/>
      <c r="G179" s="5"/>
      <c r="H179" s="13"/>
      <c r="I179" s="104"/>
      <c r="J179" s="13"/>
      <c r="K179" s="13"/>
      <c r="L179" s="13"/>
      <c r="M179" s="45"/>
      <c r="N179" s="13"/>
      <c r="O179" s="13"/>
      <c r="P179" s="103"/>
      <c r="Q179" s="5"/>
      <c r="R179" s="103"/>
      <c r="S179" s="13"/>
      <c r="T179" s="13"/>
      <c r="U179" s="13"/>
      <c r="V179" s="13"/>
      <c r="W179" s="13"/>
      <c r="X179" s="13"/>
      <c r="Y179" s="13"/>
      <c r="Z179" s="104"/>
      <c r="AA179" s="104"/>
      <c r="AB179" s="104"/>
      <c r="AC179" s="109"/>
      <c r="AD179" s="104"/>
      <c r="AE179" s="109"/>
    </row>
    <row r="180" spans="1:45">
      <c r="A180" s="15" t="s">
        <v>134</v>
      </c>
      <c r="AG180" s="59" t="s">
        <v>110</v>
      </c>
      <c r="AH180" s="59"/>
      <c r="AI180" s="59"/>
      <c r="AJ180" s="59"/>
      <c r="AK180" s="59"/>
    </row>
    <row r="181" spans="1:45" ht="17.25" customHeight="1">
      <c r="A181" s="2" t="s">
        <v>107</v>
      </c>
      <c r="B181" s="60">
        <v>0</v>
      </c>
      <c r="C181" s="2"/>
      <c r="D181" s="20"/>
      <c r="E181" s="60">
        <v>1</v>
      </c>
      <c r="F181" s="60">
        <v>0</v>
      </c>
      <c r="I181" s="59"/>
      <c r="P181" s="2"/>
      <c r="Q181" s="2"/>
      <c r="R181" s="2"/>
      <c r="S181" s="10"/>
      <c r="T181" s="10"/>
      <c r="AG181" s="59"/>
      <c r="AH181" s="59"/>
      <c r="AI181" s="59"/>
      <c r="AJ181" s="59"/>
      <c r="AK181" s="59"/>
      <c r="AM181" s="59" t="s">
        <v>111</v>
      </c>
      <c r="AN181" s="59"/>
      <c r="AO181" s="59"/>
      <c r="AP181" s="59"/>
      <c r="AQ181" s="59"/>
    </row>
    <row r="182" spans="1:45" s="35" customFormat="1" ht="135">
      <c r="B182" s="48" t="s">
        <v>12</v>
      </c>
      <c r="C182" s="48" t="s">
        <v>8</v>
      </c>
      <c r="E182" s="28" t="s">
        <v>3</v>
      </c>
      <c r="F182" s="143" t="s">
        <v>4</v>
      </c>
      <c r="G182" s="29" t="s">
        <v>42</v>
      </c>
      <c r="H182" s="143" t="s">
        <v>49</v>
      </c>
      <c r="I182" s="30" t="s">
        <v>1</v>
      </c>
      <c r="J182" s="30" t="s">
        <v>6</v>
      </c>
      <c r="K182" s="30" t="s">
        <v>5</v>
      </c>
      <c r="L182" s="28" t="s">
        <v>41</v>
      </c>
      <c r="M182" s="66" t="s">
        <v>21</v>
      </c>
      <c r="N182" s="66" t="s">
        <v>20</v>
      </c>
      <c r="O182" s="66" t="s">
        <v>22</v>
      </c>
      <c r="P182" s="31" t="s">
        <v>49</v>
      </c>
      <c r="Q182" s="31" t="s">
        <v>9</v>
      </c>
      <c r="R182" s="28" t="s">
        <v>18</v>
      </c>
      <c r="S182" s="28" t="s">
        <v>19</v>
      </c>
      <c r="T182" s="73" t="s">
        <v>83</v>
      </c>
      <c r="U182" s="27"/>
      <c r="V182" s="27"/>
      <c r="W182" s="27"/>
      <c r="AG182" s="28" t="str">
        <f>E182</f>
        <v>Inboard (cm)</v>
      </c>
      <c r="AH182" s="28" t="s">
        <v>113</v>
      </c>
      <c r="AI182" s="28" t="s">
        <v>114</v>
      </c>
      <c r="AJ182" s="28" t="s">
        <v>115</v>
      </c>
      <c r="AK182" s="28" t="str">
        <f>T182</f>
        <v>change in distance between handles (cm / cm)</v>
      </c>
      <c r="AM182" s="28" t="str">
        <f>AG182</f>
        <v>Inboard (cm)</v>
      </c>
      <c r="AN182" s="28" t="str">
        <f t="shared" ref="AN182" si="609">AH182</f>
        <v>Change in catch angle (deg)</v>
      </c>
      <c r="AO182" s="28" t="str">
        <f t="shared" ref="AO182" si="610">AI182</f>
        <v>Change in finish angle (deg)</v>
      </c>
      <c r="AP182" s="28" t="str">
        <f t="shared" ref="AP182" si="611">AJ182</f>
        <v>Change in sweep angle (deg)</v>
      </c>
      <c r="AQ182" s="28" t="str">
        <f t="shared" ref="AQ182" si="612">AK182</f>
        <v>change in distance between handles (cm / cm)</v>
      </c>
    </row>
    <row r="183" spans="1:45" s="35" customFormat="1">
      <c r="B183" s="140">
        <f t="shared" ref="B183" si="613">5*B181+B188</f>
        <v>183</v>
      </c>
      <c r="C183" s="18">
        <f t="shared" ref="C183:C187" si="614">100*(0.297865*B183/100+1.08387)</f>
        <v>162.89629500000001</v>
      </c>
      <c r="E183" s="63">
        <f t="shared" ref="E183" si="615">5*E181+E188</f>
        <v>93</v>
      </c>
      <c r="F183" s="140">
        <f>5*F181+F188</f>
        <v>160</v>
      </c>
      <c r="G183" s="21">
        <f>F183-2*(E183+2)*COS(RADIANS(I183))</f>
        <v>16.472999055926749</v>
      </c>
      <c r="H183" s="140">
        <f>H$188</f>
        <v>62.249497989943649</v>
      </c>
      <c r="I183" s="69">
        <f t="shared" ref="I183:I193" si="616">DEGREES(ASIN(H183/(E183+2)))</f>
        <v>40.939206187404842</v>
      </c>
      <c r="J183" s="9">
        <f t="shared" ref="J183:J193" si="617">DEGREES(C183/(E183-6+2))</f>
        <v>104.86820451480916</v>
      </c>
      <c r="K183" s="9">
        <f t="shared" ref="K183:K193" si="618">J183-I183</f>
        <v>63.928998327404322</v>
      </c>
      <c r="L183" s="63">
        <f t="shared" ref="L183:L193" si="619">(E183+2)*2 -F183</f>
        <v>30</v>
      </c>
      <c r="M183" s="121">
        <f t="shared" ref="M183:M193" si="620">K183-K$188</f>
        <v>-3.4196185253684561</v>
      </c>
      <c r="N183" s="121">
        <f t="shared" ref="N183:N193" si="621">I183-I$188</f>
        <v>-2.8225365052749396</v>
      </c>
      <c r="O183" s="121">
        <f t="shared" ref="O183:O187" si="622">J183-J$188</f>
        <v>-6.2421550306434028</v>
      </c>
      <c r="P183" s="11">
        <f t="shared" ref="P183:P193" si="623">((F183-G183)/2)*TAN(RADIANS(I183))</f>
        <v>62.249497989943649</v>
      </c>
      <c r="Q183" s="62">
        <f t="shared" ref="Q183:Q187" si="624">P183-P$188</f>
        <v>0</v>
      </c>
      <c r="R183" s="3">
        <f t="shared" ref="R183:R193" si="625">(E183+2)*SIN(RADIANS(K183))</f>
        <v>85.33376150596149</v>
      </c>
      <c r="S183" s="3">
        <f t="shared" ref="S183:S193" si="626">(F183/2)- (E183+2)*COS(RADIANS(K183))</f>
        <v>38.248962321354391</v>
      </c>
      <c r="T183" s="61">
        <f t="shared" ref="T183:T193" si="627">G183-G$188</f>
        <v>-13.527000944073251</v>
      </c>
      <c r="U183" s="27"/>
      <c r="V183" s="27"/>
      <c r="W183" s="27"/>
      <c r="AG183" s="128">
        <f>E183</f>
        <v>93</v>
      </c>
      <c r="AH183" s="128">
        <f>M183</f>
        <v>-3.4196185253684561</v>
      </c>
      <c r="AI183" s="128">
        <f>N183</f>
        <v>-2.8225365052749396</v>
      </c>
      <c r="AJ183" s="128">
        <f t="shared" ref="AJ183:AJ193" si="628">O183</f>
        <v>-6.2421550306434028</v>
      </c>
      <c r="AK183" s="128">
        <f>T183</f>
        <v>-13.527000944073251</v>
      </c>
      <c r="AM183" s="134">
        <f t="shared" ref="AM183:AM187" si="629">AG183/AG$188-1</f>
        <v>5.6818181818181879E-2</v>
      </c>
      <c r="AN183" s="135">
        <f t="shared" ref="AN183:AN187" si="630">K183/K$188-1</f>
        <v>-5.0774888708463028E-2</v>
      </c>
      <c r="AO183" s="135">
        <f t="shared" ref="AO183:AO187" si="631">I183/I$188-1</f>
        <v>-6.4497808624679798E-2</v>
      </c>
      <c r="AP183" s="135">
        <f t="shared" ref="AP183:AP187" si="632">J183/J$188-1</f>
        <v>-5.6179775280898903E-2</v>
      </c>
      <c r="AQ183" s="134">
        <f t="shared" ref="AQ183:AQ187" si="633">(Q183+60)/(Q$188+60) -1</f>
        <v>0</v>
      </c>
    </row>
    <row r="184" spans="1:45" s="35" customFormat="1">
      <c r="B184" s="140">
        <f t="shared" ref="B184" si="634">4*B181+B188</f>
        <v>183</v>
      </c>
      <c r="C184" s="18">
        <f t="shared" si="614"/>
        <v>162.89629500000001</v>
      </c>
      <c r="E184" s="63">
        <f t="shared" ref="E184" si="635">4*E181+E188</f>
        <v>92</v>
      </c>
      <c r="F184" s="140">
        <f>4*F181+F188</f>
        <v>160</v>
      </c>
      <c r="G184" s="21">
        <f>F184-2*(E184+2)*COS(RADIANS(I184))</f>
        <v>19.131266776477304</v>
      </c>
      <c r="H184" s="140">
        <f t="shared" ref="H184:H187" si="636">H$188</f>
        <v>62.249497989943649</v>
      </c>
      <c r="I184" s="69">
        <f t="shared" si="616"/>
        <v>41.470068583142101</v>
      </c>
      <c r="J184" s="9">
        <f t="shared" si="617"/>
        <v>106.0598886570229</v>
      </c>
      <c r="K184" s="9">
        <f t="shared" si="618"/>
        <v>64.589820073880787</v>
      </c>
      <c r="L184" s="63">
        <f t="shared" si="619"/>
        <v>28</v>
      </c>
      <c r="M184" s="121">
        <f t="shared" si="620"/>
        <v>-2.7587967788919912</v>
      </c>
      <c r="N184" s="121">
        <f t="shared" si="621"/>
        <v>-2.2916741095376807</v>
      </c>
      <c r="O184" s="121">
        <f t="shared" si="622"/>
        <v>-5.0504708884296718</v>
      </c>
      <c r="P184" s="11">
        <f t="shared" si="623"/>
        <v>62.249497989943642</v>
      </c>
      <c r="Q184" s="62">
        <f t="shared" si="624"/>
        <v>0</v>
      </c>
      <c r="R184" s="3">
        <f t="shared" si="625"/>
        <v>84.90635242166988</v>
      </c>
      <c r="S184" s="3">
        <f t="shared" si="626"/>
        <v>39.665011237795134</v>
      </c>
      <c r="T184" s="61">
        <f t="shared" si="627"/>
        <v>-10.868733223522696</v>
      </c>
      <c r="U184" s="27"/>
      <c r="V184" s="27"/>
      <c r="W184" s="27"/>
      <c r="AG184" s="128">
        <f t="shared" ref="AG184:AG193" si="637">E184</f>
        <v>92</v>
      </c>
      <c r="AH184" s="128">
        <f t="shared" ref="AH184:AH193" si="638">M184</f>
        <v>-2.7587967788919912</v>
      </c>
      <c r="AI184" s="128">
        <f t="shared" ref="AI184:AI193" si="639">N184</f>
        <v>-2.2916741095376807</v>
      </c>
      <c r="AJ184" s="128">
        <f t="shared" si="628"/>
        <v>-5.0504708884296718</v>
      </c>
      <c r="AK184" s="128">
        <f t="shared" ref="AK184:AK193" si="640">T184</f>
        <v>-10.868733223522696</v>
      </c>
      <c r="AM184" s="134">
        <f t="shared" si="629"/>
        <v>4.5454545454545414E-2</v>
      </c>
      <c r="AN184" s="135">
        <f t="shared" si="630"/>
        <v>-4.0962931501961619E-2</v>
      </c>
      <c r="AO184" s="135">
        <f t="shared" si="631"/>
        <v>-5.2367066952318075E-2</v>
      </c>
      <c r="AP184" s="135">
        <f t="shared" si="632"/>
        <v>-4.5454545454545525E-2</v>
      </c>
      <c r="AQ184" s="134">
        <f t="shared" si="633"/>
        <v>0</v>
      </c>
    </row>
    <row r="185" spans="1:45" s="35" customFormat="1">
      <c r="B185" s="140">
        <f t="shared" ref="B185" si="641">3*B181+B188</f>
        <v>183</v>
      </c>
      <c r="C185" s="18">
        <f t="shared" si="614"/>
        <v>162.89629500000001</v>
      </c>
      <c r="E185" s="63">
        <f t="shared" ref="E185" si="642">3*E181+E188</f>
        <v>91</v>
      </c>
      <c r="F185" s="140">
        <f>3*F181+F188</f>
        <v>160</v>
      </c>
      <c r="G185" s="21">
        <f>F185-2*(E185+2)*COS(RADIANS(I185))</f>
        <v>21.811722639002397</v>
      </c>
      <c r="H185" s="140">
        <f t="shared" si="636"/>
        <v>62.249497989943649</v>
      </c>
      <c r="I185" s="69">
        <f t="shared" si="616"/>
        <v>42.016874167125337</v>
      </c>
      <c r="J185" s="9">
        <f t="shared" si="617"/>
        <v>107.27896783698868</v>
      </c>
      <c r="K185" s="9">
        <f t="shared" si="618"/>
        <v>65.262093669863347</v>
      </c>
      <c r="L185" s="63">
        <f t="shared" si="619"/>
        <v>26</v>
      </c>
      <c r="M185" s="121">
        <f t="shared" si="620"/>
        <v>-2.0865231829094313</v>
      </c>
      <c r="N185" s="121">
        <f t="shared" si="621"/>
        <v>-1.7448685255544447</v>
      </c>
      <c r="O185" s="121">
        <f t="shared" si="622"/>
        <v>-3.8313917084638831</v>
      </c>
      <c r="P185" s="11">
        <f t="shared" si="623"/>
        <v>62.249497989943634</v>
      </c>
      <c r="Q185" s="62">
        <f t="shared" si="624"/>
        <v>0</v>
      </c>
      <c r="R185" s="3">
        <f t="shared" si="625"/>
        <v>84.465531539459846</v>
      </c>
      <c r="S185" s="3">
        <f t="shared" si="626"/>
        <v>41.082472049775404</v>
      </c>
      <c r="T185" s="61">
        <f t="shared" si="627"/>
        <v>-8.1882773609976027</v>
      </c>
      <c r="U185" s="27"/>
      <c r="V185" s="27"/>
      <c r="W185" s="27"/>
      <c r="AG185" s="128">
        <f t="shared" si="637"/>
        <v>91</v>
      </c>
      <c r="AH185" s="128">
        <f t="shared" si="638"/>
        <v>-2.0865231829094313</v>
      </c>
      <c r="AI185" s="128">
        <f t="shared" si="639"/>
        <v>-1.7448685255544447</v>
      </c>
      <c r="AJ185" s="128">
        <f t="shared" si="628"/>
        <v>-3.8313917084638831</v>
      </c>
      <c r="AK185" s="128">
        <f t="shared" si="640"/>
        <v>-8.1882773609976027</v>
      </c>
      <c r="AM185" s="134">
        <f t="shared" si="629"/>
        <v>3.4090909090909172E-2</v>
      </c>
      <c r="AN185" s="135">
        <f t="shared" si="630"/>
        <v>-3.0980935918411889E-2</v>
      </c>
      <c r="AO185" s="135">
        <f t="shared" si="631"/>
        <v>-3.9872007333161319E-2</v>
      </c>
      <c r="AP185" s="135">
        <f t="shared" si="632"/>
        <v>-3.4482758620689613E-2</v>
      </c>
      <c r="AQ185" s="134">
        <f t="shared" si="633"/>
        <v>0</v>
      </c>
    </row>
    <row r="186" spans="1:45" s="35" customFormat="1">
      <c r="B186" s="140">
        <f t="shared" ref="B186" si="643">2*B181+B188</f>
        <v>183</v>
      </c>
      <c r="C186" s="18">
        <f t="shared" si="614"/>
        <v>162.89629500000001</v>
      </c>
      <c r="E186" s="63">
        <f t="shared" ref="E186" si="644">2*E181+E188</f>
        <v>90</v>
      </c>
      <c r="F186" s="140">
        <f>2*F181+F188</f>
        <v>160</v>
      </c>
      <c r="G186" s="21">
        <f>F186-2*(E186+2)*COS(RADIANS(I186))</f>
        <v>24.515683564480412</v>
      </c>
      <c r="H186" s="140">
        <f t="shared" si="636"/>
        <v>62.249497989943649</v>
      </c>
      <c r="I186" s="69">
        <f t="shared" si="616"/>
        <v>42.580466568656313</v>
      </c>
      <c r="J186" s="9">
        <f t="shared" si="617"/>
        <v>108.52639769555832</v>
      </c>
      <c r="K186" s="9">
        <f t="shared" si="618"/>
        <v>65.945931126901996</v>
      </c>
      <c r="L186" s="63">
        <f t="shared" si="619"/>
        <v>24</v>
      </c>
      <c r="M186" s="121">
        <f t="shared" si="620"/>
        <v>-1.4026857258707821</v>
      </c>
      <c r="N186" s="121">
        <f t="shared" si="621"/>
        <v>-1.1812761240234693</v>
      </c>
      <c r="O186" s="121">
        <f t="shared" si="622"/>
        <v>-2.5839618498942514</v>
      </c>
      <c r="P186" s="11">
        <f t="shared" si="623"/>
        <v>62.249497989943663</v>
      </c>
      <c r="Q186" s="62">
        <f t="shared" si="624"/>
        <v>0</v>
      </c>
      <c r="R186" s="3">
        <f t="shared" si="625"/>
        <v>84.010832401116957</v>
      </c>
      <c r="S186" s="3">
        <f t="shared" si="626"/>
        <v>42.500932821316233</v>
      </c>
      <c r="T186" s="61">
        <f t="shared" si="627"/>
        <v>-5.4843164355195881</v>
      </c>
      <c r="U186" s="27"/>
      <c r="V186" s="27"/>
      <c r="W186" s="27"/>
      <c r="AG186" s="128">
        <f t="shared" si="637"/>
        <v>90</v>
      </c>
      <c r="AH186" s="128">
        <f t="shared" si="638"/>
        <v>-1.4026857258707821</v>
      </c>
      <c r="AI186" s="128">
        <f t="shared" si="639"/>
        <v>-1.1812761240234693</v>
      </c>
      <c r="AJ186" s="128">
        <f t="shared" si="628"/>
        <v>-2.5839618498942514</v>
      </c>
      <c r="AK186" s="128">
        <f t="shared" si="640"/>
        <v>-5.4843164355195881</v>
      </c>
      <c r="AM186" s="134">
        <f t="shared" si="629"/>
        <v>2.2727272727272707E-2</v>
      </c>
      <c r="AN186" s="135">
        <f t="shared" si="630"/>
        <v>-2.0827238797451741E-2</v>
      </c>
      <c r="AO186" s="135">
        <f t="shared" si="631"/>
        <v>-2.6993351985981739E-2</v>
      </c>
      <c r="AP186" s="135">
        <f t="shared" si="632"/>
        <v>-2.3255813953488413E-2</v>
      </c>
      <c r="AQ186" s="134">
        <f t="shared" si="633"/>
        <v>0</v>
      </c>
    </row>
    <row r="187" spans="1:45" s="35" customFormat="1">
      <c r="B187" s="140">
        <f t="shared" ref="B187" si="645">B188+B181</f>
        <v>183</v>
      </c>
      <c r="C187" s="18">
        <f t="shared" si="614"/>
        <v>162.89629500000001</v>
      </c>
      <c r="E187" s="63">
        <f t="shared" ref="E187" si="646">E188+E181</f>
        <v>89</v>
      </c>
      <c r="F187" s="140">
        <f>F188+F181</f>
        <v>160</v>
      </c>
      <c r="G187" s="21">
        <f>F187-2*(E187+2)*COS(RADIANS(I187))</f>
        <v>27.244585797791274</v>
      </c>
      <c r="H187" s="140">
        <f t="shared" si="636"/>
        <v>62.249497989943649</v>
      </c>
      <c r="I187" s="69">
        <f t="shared" si="616"/>
        <v>43.161759039251329</v>
      </c>
      <c r="J187" s="9">
        <f t="shared" si="617"/>
        <v>109.80317884491782</v>
      </c>
      <c r="K187" s="9">
        <f t="shared" si="618"/>
        <v>66.641419805666487</v>
      </c>
      <c r="L187" s="63">
        <f t="shared" si="619"/>
        <v>22</v>
      </c>
      <c r="M187" s="121">
        <f t="shared" si="620"/>
        <v>-0.70719704710629117</v>
      </c>
      <c r="N187" s="121">
        <f t="shared" si="621"/>
        <v>-0.59998365342845261</v>
      </c>
      <c r="O187" s="121">
        <f t="shared" si="622"/>
        <v>-1.3071807005347438</v>
      </c>
      <c r="P187" s="11">
        <f t="shared" si="623"/>
        <v>62.249497989943656</v>
      </c>
      <c r="Q187" s="62">
        <f t="shared" si="624"/>
        <v>0</v>
      </c>
      <c r="R187" s="3">
        <f t="shared" si="625"/>
        <v>83.541775482495297</v>
      </c>
      <c r="S187" s="3">
        <f t="shared" si="626"/>
        <v>43.919925869916099</v>
      </c>
      <c r="T187" s="61">
        <f t="shared" si="627"/>
        <v>-2.7554142022087262</v>
      </c>
      <c r="U187" s="27"/>
      <c r="V187" s="27"/>
      <c r="W187" s="27"/>
      <c r="AG187" s="128">
        <f t="shared" si="637"/>
        <v>89</v>
      </c>
      <c r="AH187" s="128">
        <f t="shared" si="638"/>
        <v>-0.70719704710629117</v>
      </c>
      <c r="AI187" s="128">
        <f t="shared" si="639"/>
        <v>-0.59998365342845261</v>
      </c>
      <c r="AJ187" s="128">
        <f t="shared" si="628"/>
        <v>-1.3071807005347438</v>
      </c>
      <c r="AK187" s="128">
        <f t="shared" si="640"/>
        <v>-2.7554142022087262</v>
      </c>
      <c r="AM187" s="134">
        <f t="shared" si="629"/>
        <v>1.1363636363636465E-2</v>
      </c>
      <c r="AN187" s="135">
        <f t="shared" si="630"/>
        <v>-1.0500542997820661E-2</v>
      </c>
      <c r="AO187" s="135">
        <f t="shared" si="631"/>
        <v>-1.3710232191663008E-2</v>
      </c>
      <c r="AP187" s="135">
        <f t="shared" si="632"/>
        <v>-1.176470588235301E-2</v>
      </c>
      <c r="AQ187" s="134">
        <f t="shared" si="633"/>
        <v>0</v>
      </c>
    </row>
    <row r="188" spans="1:45" s="15" customFormat="1">
      <c r="B188" s="147">
        <v>183</v>
      </c>
      <c r="C188" s="37">
        <f>100*(0.297865*B188/100+1.08387)</f>
        <v>162.89629500000001</v>
      </c>
      <c r="E188" s="147">
        <v>88</v>
      </c>
      <c r="F188" s="147">
        <v>160</v>
      </c>
      <c r="G188" s="231">
        <v>30</v>
      </c>
      <c r="H188" s="147">
        <f>((F188-G188)/2)*(TAN(ACOS(((F188-G188)/2)/(E188+2))))</f>
        <v>62.249497989943649</v>
      </c>
      <c r="I188" s="70">
        <f t="shared" si="616"/>
        <v>43.761742692679782</v>
      </c>
      <c r="J188" s="44">
        <f t="shared" si="617"/>
        <v>111.11035954545257</v>
      </c>
      <c r="K188" s="44">
        <f t="shared" si="618"/>
        <v>67.348616852772778</v>
      </c>
      <c r="L188" s="40">
        <f t="shared" si="619"/>
        <v>20</v>
      </c>
      <c r="M188" s="70">
        <f t="shared" si="620"/>
        <v>0</v>
      </c>
      <c r="N188" s="70">
        <f t="shared" si="621"/>
        <v>0</v>
      </c>
      <c r="O188" s="70">
        <f>J188-J$188</f>
        <v>0</v>
      </c>
      <c r="P188" s="41">
        <f t="shared" si="623"/>
        <v>62.24949798994362</v>
      </c>
      <c r="Q188" s="41">
        <f>P188-P$188</f>
        <v>0</v>
      </c>
      <c r="R188" s="39">
        <f t="shared" si="625"/>
        <v>83.057868711361749</v>
      </c>
      <c r="S188" s="39">
        <f t="shared" si="626"/>
        <v>45.338920312168661</v>
      </c>
      <c r="T188" s="39">
        <f t="shared" si="627"/>
        <v>0</v>
      </c>
      <c r="AG188" s="148">
        <f t="shared" si="637"/>
        <v>88</v>
      </c>
      <c r="AH188" s="148">
        <f t="shared" si="638"/>
        <v>0</v>
      </c>
      <c r="AI188" s="148">
        <f t="shared" si="639"/>
        <v>0</v>
      </c>
      <c r="AJ188" s="148">
        <f t="shared" si="628"/>
        <v>0</v>
      </c>
      <c r="AK188" s="148">
        <f t="shared" si="640"/>
        <v>0</v>
      </c>
      <c r="AM188" s="150">
        <f>AG188/AG$188-1</f>
        <v>0</v>
      </c>
      <c r="AN188" s="151">
        <f>K188/K$188-1</f>
        <v>0</v>
      </c>
      <c r="AO188" s="151">
        <f>I188/I$188-1</f>
        <v>0</v>
      </c>
      <c r="AP188" s="151">
        <f>J188/J$188-1</f>
        <v>0</v>
      </c>
      <c r="AQ188" s="150">
        <f>(Q188+60)/(Q$188+60) -1</f>
        <v>0</v>
      </c>
    </row>
    <row r="189" spans="1:45">
      <c r="B189" s="140">
        <f t="shared" ref="B189" si="647">B188-B181</f>
        <v>183</v>
      </c>
      <c r="C189" s="18">
        <f>100*(0.297865*B189/100+1.08387)</f>
        <v>162.89629500000001</v>
      </c>
      <c r="E189" s="63">
        <f t="shared" ref="E189" si="648">E188-E181</f>
        <v>87</v>
      </c>
      <c r="F189" s="140">
        <f>F188-F181</f>
        <v>160</v>
      </c>
      <c r="G189" s="21">
        <f>F189-2*(E189+2)*COS(RADIANS(I189))</f>
        <v>32.783648849685974</v>
      </c>
      <c r="H189" s="140">
        <f>H$188</f>
        <v>62.249497989943649</v>
      </c>
      <c r="I189" s="69">
        <f t="shared" si="616"/>
        <v>44.381496055881669</v>
      </c>
      <c r="J189" s="9">
        <f t="shared" si="617"/>
        <v>112.44903857612067</v>
      </c>
      <c r="K189" s="9">
        <f t="shared" si="618"/>
        <v>68.067542520239002</v>
      </c>
      <c r="L189" s="63">
        <f t="shared" si="619"/>
        <v>18</v>
      </c>
      <c r="M189" s="121">
        <f t="shared" si="620"/>
        <v>0.71892566746622322</v>
      </c>
      <c r="N189" s="121">
        <f t="shared" si="621"/>
        <v>0.61975336320188745</v>
      </c>
      <c r="O189" s="121">
        <f t="shared" ref="O189:O193" si="649">J189-J$188</f>
        <v>1.3386790306681036</v>
      </c>
      <c r="P189" s="11">
        <f t="shared" si="623"/>
        <v>62.249497989943642</v>
      </c>
      <c r="Q189" s="62">
        <f t="shared" ref="Q189:Q193" si="650">P189-P$188</f>
        <v>0</v>
      </c>
      <c r="R189" s="3">
        <f t="shared" si="625"/>
        <v>82.55860819915334</v>
      </c>
      <c r="S189" s="3">
        <f t="shared" si="626"/>
        <v>46.757313402513759</v>
      </c>
      <c r="T189" s="61">
        <f t="shared" si="627"/>
        <v>2.7836488496859744</v>
      </c>
      <c r="AG189" s="128">
        <f t="shared" si="637"/>
        <v>87</v>
      </c>
      <c r="AH189" s="128">
        <f t="shared" si="638"/>
        <v>0.71892566746622322</v>
      </c>
      <c r="AI189" s="128">
        <f t="shared" si="639"/>
        <v>0.61975336320188745</v>
      </c>
      <c r="AJ189" s="128">
        <f t="shared" si="628"/>
        <v>1.3386790306681036</v>
      </c>
      <c r="AK189" s="128">
        <f t="shared" si="640"/>
        <v>2.7836488496859744</v>
      </c>
      <c r="AM189" s="134">
        <f t="shared" ref="AM189:AM193" si="651">AG189/AG$188-1</f>
        <v>-1.1363636363636354E-2</v>
      </c>
      <c r="AN189" s="135">
        <f t="shared" ref="AN189:AN193" si="652">K189/K$188-1</f>
        <v>1.0674690900302153E-2</v>
      </c>
      <c r="AO189" s="135">
        <f t="shared" ref="AO189:AO193" si="653">I189/I$188-1</f>
        <v>1.4161990018408455E-2</v>
      </c>
      <c r="AP189" s="135">
        <f t="shared" ref="AP189:AP193" si="654">J189/J$188-1</f>
        <v>1.2048192771084265E-2</v>
      </c>
      <c r="AQ189" s="134">
        <f t="shared" ref="AQ189:AQ193" si="655">(Q189+60)/(Q$188+60) -1</f>
        <v>0</v>
      </c>
    </row>
    <row r="190" spans="1:45">
      <c r="B190" s="140">
        <f t="shared" ref="B190" si="656">B188-2*B181</f>
        <v>183</v>
      </c>
      <c r="C190" s="18">
        <f t="shared" ref="C190:C193" si="657">100*(0.297865*B190/100+1.08387)</f>
        <v>162.89629500000001</v>
      </c>
      <c r="E190" s="63">
        <f t="shared" ref="E190" si="658">E188-2*E181</f>
        <v>86</v>
      </c>
      <c r="F190" s="140">
        <f>F188-2*F181</f>
        <v>160</v>
      </c>
      <c r="G190" s="21">
        <f>F190-2*(E190+2)*COS(RADIANS(I190))</f>
        <v>35.597427679328078</v>
      </c>
      <c r="H190" s="140">
        <f t="shared" ref="H190:H193" si="659">H$188</f>
        <v>62.249497989943649</v>
      </c>
      <c r="I190" s="69">
        <f t="shared" si="616"/>
        <v>45.022196197796568</v>
      </c>
      <c r="J190" s="9">
        <f t="shared" si="617"/>
        <v>113.82036831485384</v>
      </c>
      <c r="K190" s="9">
        <f t="shared" si="618"/>
        <v>68.798172117057277</v>
      </c>
      <c r="L190" s="63">
        <f t="shared" si="619"/>
        <v>16</v>
      </c>
      <c r="M190" s="121">
        <f t="shared" si="620"/>
        <v>1.4495552642844984</v>
      </c>
      <c r="N190" s="121">
        <f t="shared" si="621"/>
        <v>1.2604535051167858</v>
      </c>
      <c r="O190" s="121">
        <f t="shared" si="649"/>
        <v>2.71000876940127</v>
      </c>
      <c r="P190" s="11">
        <f t="shared" si="623"/>
        <v>62.249497989943649</v>
      </c>
      <c r="Q190" s="62">
        <f t="shared" si="650"/>
        <v>0</v>
      </c>
      <c r="R190" s="3">
        <f t="shared" si="625"/>
        <v>82.043479230754585</v>
      </c>
      <c r="S190" s="3">
        <f t="shared" si="626"/>
        <v>48.174420418274536</v>
      </c>
      <c r="T190" s="61">
        <f t="shared" si="627"/>
        <v>5.5974276793280779</v>
      </c>
      <c r="AG190" s="128">
        <f t="shared" si="637"/>
        <v>86</v>
      </c>
      <c r="AH190" s="128">
        <f t="shared" si="638"/>
        <v>1.4495552642844984</v>
      </c>
      <c r="AI190" s="128">
        <f t="shared" si="639"/>
        <v>1.2604535051167858</v>
      </c>
      <c r="AJ190" s="128">
        <f t="shared" si="628"/>
        <v>2.71000876940127</v>
      </c>
      <c r="AK190" s="128">
        <f t="shared" si="640"/>
        <v>5.5974276793280779</v>
      </c>
      <c r="AM190" s="134">
        <f t="shared" si="651"/>
        <v>-2.2727272727272707E-2</v>
      </c>
      <c r="AN190" s="135">
        <f t="shared" si="652"/>
        <v>2.1523163088164043E-2</v>
      </c>
      <c r="AO190" s="135">
        <f t="shared" si="653"/>
        <v>2.8802635077136207E-2</v>
      </c>
      <c r="AP190" s="135">
        <f t="shared" si="654"/>
        <v>2.4390243902438824E-2</v>
      </c>
      <c r="AQ190" s="134">
        <f t="shared" si="655"/>
        <v>0</v>
      </c>
    </row>
    <row r="191" spans="1:45">
      <c r="B191" s="140">
        <f t="shared" ref="B191" si="660">B188-3*B181</f>
        <v>183</v>
      </c>
      <c r="C191" s="18">
        <f t="shared" si="657"/>
        <v>162.89629500000001</v>
      </c>
      <c r="E191" s="63">
        <f t="shared" ref="E191" si="661">E188-3*E181</f>
        <v>85</v>
      </c>
      <c r="F191" s="140">
        <f>F188-3*F181</f>
        <v>160</v>
      </c>
      <c r="G191" s="21">
        <f>F191-2*(E191+2)*COS(RADIANS(I191))</f>
        <v>38.443428807818009</v>
      </c>
      <c r="H191" s="140">
        <f t="shared" si="659"/>
        <v>62.249497989943649</v>
      </c>
      <c r="I191" s="69">
        <f t="shared" si="616"/>
        <v>45.6851317703983</v>
      </c>
      <c r="J191" s="9">
        <f t="shared" si="617"/>
        <v>115.225558047136</v>
      </c>
      <c r="K191" s="9">
        <f t="shared" si="618"/>
        <v>69.540426276737705</v>
      </c>
      <c r="L191" s="63">
        <f t="shared" si="619"/>
        <v>14</v>
      </c>
      <c r="M191" s="121">
        <f t="shared" si="620"/>
        <v>2.1918094239649264</v>
      </c>
      <c r="N191" s="121">
        <f t="shared" si="621"/>
        <v>1.9233890777185181</v>
      </c>
      <c r="O191" s="121">
        <f t="shared" si="649"/>
        <v>4.1151985016834374</v>
      </c>
      <c r="P191" s="11">
        <f t="shared" si="623"/>
        <v>62.249497989943649</v>
      </c>
      <c r="Q191" s="62">
        <f t="shared" si="650"/>
        <v>0</v>
      </c>
      <c r="R191" s="3">
        <f t="shared" si="625"/>
        <v>81.511957564850562</v>
      </c>
      <c r="S191" s="3">
        <f t="shared" si="626"/>
        <v>49.589462781035905</v>
      </c>
      <c r="T191" s="61">
        <f t="shared" si="627"/>
        <v>8.4434288078180089</v>
      </c>
      <c r="AG191" s="128">
        <f t="shared" si="637"/>
        <v>85</v>
      </c>
      <c r="AH191" s="128">
        <f t="shared" si="638"/>
        <v>2.1918094239649264</v>
      </c>
      <c r="AI191" s="128">
        <f t="shared" si="639"/>
        <v>1.9233890777185181</v>
      </c>
      <c r="AJ191" s="128">
        <f t="shared" si="628"/>
        <v>4.1151985016834374</v>
      </c>
      <c r="AK191" s="128">
        <f t="shared" si="640"/>
        <v>8.4434288078180089</v>
      </c>
      <c r="AM191" s="134">
        <f t="shared" si="651"/>
        <v>-3.4090909090909061E-2</v>
      </c>
      <c r="AN191" s="135">
        <f t="shared" si="652"/>
        <v>3.2544238120826297E-2</v>
      </c>
      <c r="AO191" s="135">
        <f t="shared" si="653"/>
        <v>4.395138217473793E-2</v>
      </c>
      <c r="AP191" s="135">
        <f t="shared" si="654"/>
        <v>3.7037037037037202E-2</v>
      </c>
      <c r="AQ191" s="134">
        <f t="shared" si="655"/>
        <v>0</v>
      </c>
    </row>
    <row r="192" spans="1:45">
      <c r="B192" s="140">
        <f t="shared" ref="B192" si="662">B188-4*B181</f>
        <v>183</v>
      </c>
      <c r="C192" s="18">
        <f t="shared" si="657"/>
        <v>162.89629500000001</v>
      </c>
      <c r="E192" s="63">
        <f t="shared" ref="E192" si="663">E188-4*E181</f>
        <v>84</v>
      </c>
      <c r="F192" s="140">
        <f>F188-4*F181</f>
        <v>160</v>
      </c>
      <c r="G192" s="21">
        <f>F192-2*(E192+2)*COS(RADIANS(I192))</f>
        <v>41.323970406825595</v>
      </c>
      <c r="H192" s="140">
        <f t="shared" si="659"/>
        <v>62.249497989943649</v>
      </c>
      <c r="I192" s="69">
        <f t="shared" si="616"/>
        <v>46.37171838392522</v>
      </c>
      <c r="J192" s="9">
        <f t="shared" si="617"/>
        <v>116.66587752272518</v>
      </c>
      <c r="K192" s="9">
        <f t="shared" si="618"/>
        <v>70.294159138799955</v>
      </c>
      <c r="L192" s="63">
        <f t="shared" si="619"/>
        <v>12</v>
      </c>
      <c r="M192" s="121">
        <f t="shared" si="620"/>
        <v>2.9455422860271767</v>
      </c>
      <c r="N192" s="121">
        <f t="shared" si="621"/>
        <v>2.6099756912454382</v>
      </c>
      <c r="O192" s="121">
        <f t="shared" si="649"/>
        <v>5.5555179772726149</v>
      </c>
      <c r="P192" s="11">
        <f t="shared" si="623"/>
        <v>62.249497989943663</v>
      </c>
      <c r="Q192" s="62">
        <f t="shared" si="650"/>
        <v>0</v>
      </c>
      <c r="R192" s="3">
        <f t="shared" si="625"/>
        <v>80.963511107442656</v>
      </c>
      <c r="S192" s="3">
        <f t="shared" si="626"/>
        <v>51.001554021723678</v>
      </c>
      <c r="T192" s="61">
        <f t="shared" si="627"/>
        <v>11.323970406825595</v>
      </c>
      <c r="AG192" s="128">
        <f t="shared" si="637"/>
        <v>84</v>
      </c>
      <c r="AH192" s="128">
        <f t="shared" si="638"/>
        <v>2.9455422860271767</v>
      </c>
      <c r="AI192" s="128">
        <f t="shared" si="639"/>
        <v>2.6099756912454382</v>
      </c>
      <c r="AJ192" s="128">
        <f t="shared" si="628"/>
        <v>5.5555179772726149</v>
      </c>
      <c r="AK192" s="128">
        <f t="shared" si="640"/>
        <v>11.323970406825595</v>
      </c>
      <c r="AM192" s="134">
        <f t="shared" si="651"/>
        <v>-4.5454545454545414E-2</v>
      </c>
      <c r="AN192" s="135">
        <f t="shared" si="652"/>
        <v>4.3735750245120331E-2</v>
      </c>
      <c r="AO192" s="135">
        <f t="shared" si="653"/>
        <v>5.9640579434283358E-2</v>
      </c>
      <c r="AP192" s="135">
        <f t="shared" si="654"/>
        <v>4.9999999999999822E-2</v>
      </c>
      <c r="AQ192" s="134">
        <f t="shared" si="655"/>
        <v>0</v>
      </c>
    </row>
    <row r="193" spans="1:45">
      <c r="B193" s="140">
        <f t="shared" ref="B193" si="664">B188-5*B181</f>
        <v>183</v>
      </c>
      <c r="C193" s="18">
        <f t="shared" si="657"/>
        <v>162.89629500000001</v>
      </c>
      <c r="E193" s="63">
        <f t="shared" ref="E193" si="665">E188-5*E181</f>
        <v>83</v>
      </c>
      <c r="F193" s="140">
        <f>F188-5*F181</f>
        <v>160</v>
      </c>
      <c r="G193" s="21">
        <f>F193-2*(E193+2)*COS(RADIANS(I193))</f>
        <v>44.241630972097738</v>
      </c>
      <c r="H193" s="140">
        <f t="shared" si="659"/>
        <v>62.249497989943649</v>
      </c>
      <c r="I193" s="69">
        <f t="shared" si="616"/>
        <v>47.083516853785049</v>
      </c>
      <c r="J193" s="9">
        <f t="shared" si="617"/>
        <v>118.14266078250651</v>
      </c>
      <c r="K193" s="9">
        <f t="shared" si="618"/>
        <v>71.059143928721454</v>
      </c>
      <c r="L193" s="63">
        <f t="shared" si="619"/>
        <v>10</v>
      </c>
      <c r="M193" s="121">
        <f t="shared" si="620"/>
        <v>3.7105270759486757</v>
      </c>
      <c r="N193" s="121">
        <f t="shared" si="621"/>
        <v>3.3217741611052674</v>
      </c>
      <c r="O193" s="121">
        <f t="shared" si="649"/>
        <v>7.0323012370539431</v>
      </c>
      <c r="P193" s="11">
        <f t="shared" si="623"/>
        <v>62.249497989943656</v>
      </c>
      <c r="Q193" s="62">
        <f t="shared" si="650"/>
        <v>0</v>
      </c>
      <c r="R193" s="3">
        <f t="shared" si="625"/>
        <v>80.397602032977034</v>
      </c>
      <c r="S193" s="3">
        <f t="shared" si="626"/>
        <v>52.409683087230647</v>
      </c>
      <c r="T193" s="61">
        <f t="shared" si="627"/>
        <v>14.241630972097738</v>
      </c>
      <c r="AG193" s="128">
        <f t="shared" si="637"/>
        <v>83</v>
      </c>
      <c r="AH193" s="128">
        <f t="shared" si="638"/>
        <v>3.7105270759486757</v>
      </c>
      <c r="AI193" s="128">
        <f t="shared" si="639"/>
        <v>3.3217741611052674</v>
      </c>
      <c r="AJ193" s="128">
        <f t="shared" si="628"/>
        <v>7.0323012370539431</v>
      </c>
      <c r="AK193" s="128">
        <f t="shared" si="640"/>
        <v>14.241630972097738</v>
      </c>
      <c r="AM193" s="134">
        <f t="shared" si="651"/>
        <v>-5.6818181818181768E-2</v>
      </c>
      <c r="AN193" s="135">
        <f t="shared" si="652"/>
        <v>5.5094332286883541E-2</v>
      </c>
      <c r="AO193" s="135">
        <f t="shared" si="653"/>
        <v>7.5905893063552776E-2</v>
      </c>
      <c r="AP193" s="135">
        <f t="shared" si="654"/>
        <v>6.3291139240506222E-2</v>
      </c>
      <c r="AQ193" s="134">
        <f t="shared" si="655"/>
        <v>0</v>
      </c>
    </row>
    <row r="194" spans="1:45" s="12" customFormat="1">
      <c r="B194" s="5"/>
      <c r="C194" s="19" t="s">
        <v>24</v>
      </c>
      <c r="E194" s="13"/>
      <c r="F194" s="13"/>
      <c r="G194" s="13"/>
      <c r="H194" s="13"/>
      <c r="I194" s="104"/>
      <c r="J194" s="13"/>
      <c r="K194" s="13"/>
      <c r="L194" s="13"/>
      <c r="M194" s="145"/>
      <c r="N194" s="145"/>
      <c r="O194" s="145"/>
      <c r="P194" s="13"/>
      <c r="Q194" s="13"/>
      <c r="R194" s="13"/>
      <c r="S194" s="13"/>
      <c r="T194" s="13"/>
      <c r="AG194" s="131"/>
      <c r="AH194" s="132"/>
      <c r="AI194" s="132"/>
      <c r="AJ194" s="132"/>
      <c r="AK194" s="131"/>
    </row>
    <row r="195" spans="1:45" ht="18.75">
      <c r="A195" s="15" t="s">
        <v>135</v>
      </c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AM195" s="59"/>
      <c r="AN195" s="59"/>
      <c r="AO195" s="59"/>
      <c r="AP195" s="59"/>
      <c r="AQ195" s="59"/>
    </row>
    <row r="196" spans="1:45" ht="30" customHeight="1">
      <c r="A196" s="20"/>
      <c r="B196" s="20"/>
      <c r="C196" s="20"/>
      <c r="D196" s="20"/>
      <c r="E196" s="20"/>
      <c r="F196" s="20"/>
      <c r="G196" s="12"/>
      <c r="M196" s="236" t="s">
        <v>14</v>
      </c>
      <c r="N196" s="237"/>
      <c r="V196" s="5"/>
      <c r="AG196" s="27"/>
      <c r="AH196" s="27"/>
      <c r="AI196" s="27"/>
      <c r="AJ196" s="27"/>
      <c r="AK196" s="27"/>
      <c r="AM196" s="59"/>
      <c r="AN196" s="59"/>
      <c r="AO196" s="59"/>
      <c r="AP196" s="59"/>
      <c r="AQ196" s="59"/>
    </row>
    <row r="197" spans="1:45" s="27" customFormat="1" ht="136.5">
      <c r="B197" s="28" t="s">
        <v>12</v>
      </c>
      <c r="C197" s="28" t="s">
        <v>8</v>
      </c>
      <c r="D197" s="29" t="s">
        <v>42</v>
      </c>
      <c r="E197" s="28" t="s">
        <v>3</v>
      </c>
      <c r="F197" s="28" t="s">
        <v>4</v>
      </c>
      <c r="G197" s="28" t="s">
        <v>41</v>
      </c>
      <c r="H197" s="66" t="s">
        <v>1</v>
      </c>
      <c r="I197" s="66" t="s">
        <v>20</v>
      </c>
      <c r="J197" s="28" t="s">
        <v>6</v>
      </c>
      <c r="K197" s="28" t="s">
        <v>5</v>
      </c>
      <c r="L197" s="31" t="s">
        <v>49</v>
      </c>
      <c r="M197" s="31" t="s">
        <v>112</v>
      </c>
      <c r="N197" s="28" t="s">
        <v>18</v>
      </c>
      <c r="O197" s="28" t="s">
        <v>19</v>
      </c>
      <c r="P197" s="32" t="s">
        <v>25</v>
      </c>
      <c r="Q197" s="28" t="s">
        <v>27</v>
      </c>
      <c r="R197" s="33" t="s">
        <v>26</v>
      </c>
      <c r="S197" s="28" t="s">
        <v>28</v>
      </c>
      <c r="T197" s="28" t="s">
        <v>33</v>
      </c>
      <c r="U197" s="28" t="s">
        <v>34</v>
      </c>
      <c r="V197" s="28" t="s">
        <v>30</v>
      </c>
      <c r="W197" s="28" t="s">
        <v>43</v>
      </c>
      <c r="X197" s="29" t="s">
        <v>29</v>
      </c>
      <c r="Y197" s="28" t="s">
        <v>32</v>
      </c>
      <c r="Z197" s="30" t="s">
        <v>31</v>
      </c>
      <c r="AA197" s="30" t="s">
        <v>35</v>
      </c>
      <c r="AB197" s="28" t="s">
        <v>36</v>
      </c>
      <c r="AC197" s="30" t="s">
        <v>37</v>
      </c>
      <c r="AD197" s="30" t="s">
        <v>48</v>
      </c>
      <c r="AE197" s="34" t="s">
        <v>38</v>
      </c>
      <c r="AG197" s="128" t="str">
        <f>E182</f>
        <v>Inboard (cm)</v>
      </c>
      <c r="AH197" s="28" t="s">
        <v>113</v>
      </c>
      <c r="AI197" s="28" t="s">
        <v>114</v>
      </c>
      <c r="AJ197" s="28" t="s">
        <v>115</v>
      </c>
      <c r="AK197" s="28" t="str">
        <f>T182</f>
        <v>change in distance between handles (cm / cm)</v>
      </c>
      <c r="AM197" s="28" t="str">
        <f>AG197</f>
        <v>Inboard (cm)</v>
      </c>
      <c r="AN197" s="28" t="str">
        <f>AH197</f>
        <v>Change in catch angle (deg)</v>
      </c>
      <c r="AO197" s="28" t="str">
        <f>AI197</f>
        <v>Change in finish angle (deg)</v>
      </c>
      <c r="AP197" s="28" t="str">
        <f>AJ197</f>
        <v>Change in sweep angle (deg)</v>
      </c>
      <c r="AQ197" s="28" t="str">
        <f>AK197</f>
        <v>change in distance between handles (cm / cm)</v>
      </c>
      <c r="AS197" s="136" t="s">
        <v>170</v>
      </c>
    </row>
    <row r="198" spans="1:45">
      <c r="B198" s="20">
        <f>B183</f>
        <v>183</v>
      </c>
      <c r="C198" s="18">
        <f t="shared" ref="C198:C202" si="666">100*(0.297865*B198/100+1.08387)</f>
        <v>162.89629500000001</v>
      </c>
      <c r="D198" s="21">
        <f t="shared" ref="D198:D208" si="667">G183</f>
        <v>16.472999055926749</v>
      </c>
      <c r="E198" s="20">
        <f>E183</f>
        <v>93</v>
      </c>
      <c r="F198" s="63">
        <f>F183</f>
        <v>160</v>
      </c>
      <c r="G198" s="20">
        <f t="shared" ref="G198:G202" si="668">(E198+2)*2 -F198</f>
        <v>30</v>
      </c>
      <c r="H198" s="69">
        <f>DEGREES(ACOS((F198-D198)/2/(E198+2)))</f>
        <v>40.939206187404842</v>
      </c>
      <c r="I198" s="69">
        <f t="shared" ref="I198:I202" si="669">H198-H$203</f>
        <v>-2.8225365052749538</v>
      </c>
      <c r="J198" s="3"/>
      <c r="K198" s="21"/>
      <c r="L198" s="11">
        <f t="shared" ref="L198:L208" si="670">((F198-D198)/2)*TAN(RADIANS(H198))</f>
        <v>62.249497989943649</v>
      </c>
      <c r="M198" s="62">
        <f t="shared" ref="M198:M202" si="671">L198-L$203</f>
        <v>0</v>
      </c>
      <c r="N198" s="21"/>
      <c r="O198" s="21"/>
      <c r="P198" s="23">
        <f t="shared" ref="P198:P201" si="672">P$203</f>
        <v>1</v>
      </c>
      <c r="Q198" s="20">
        <f t="shared" ref="Q198:Q208" si="673">B198 *P198</f>
        <v>183</v>
      </c>
      <c r="R198" s="23">
        <f t="shared" ref="R198:R201" si="674">R$203</f>
        <v>0.3</v>
      </c>
      <c r="S198" s="3">
        <f>Q198*R198</f>
        <v>54.9</v>
      </c>
      <c r="T198" s="3">
        <f>S198/2</f>
        <v>27.45</v>
      </c>
      <c r="U198" s="61">
        <f t="shared" ref="U198:U201" si="675">U$203</f>
        <v>52.55</v>
      </c>
      <c r="V198" s="3"/>
      <c r="W198" s="3">
        <f t="shared" ref="W198:W202" si="676">COS(RADIANS(17))*((Q198-S198)/2 -8)</f>
        <v>53.600881571728131</v>
      </c>
      <c r="X198" s="61">
        <f>X$203-M198</f>
        <v>32.53024225482509</v>
      </c>
      <c r="Y198" s="3">
        <f>SQRT(X198*X198+U198*U198)</f>
        <v>61.803876586809722</v>
      </c>
      <c r="Z198" s="51">
        <f>DEGREES(ASIN(X198/Y198))</f>
        <v>31.75892033135543</v>
      </c>
      <c r="AA198" s="51">
        <f t="shared" ref="AA198:AA208" si="677">DEGREES(ACOS(((E198+2)*(E198+2)+(Y198*Y198)-(W198*W198))/(2*(E198+2)*(Y198))))</f>
        <v>31.877705693365002</v>
      </c>
      <c r="AB198" s="4">
        <f t="shared" ref="AB198:AB208" si="678">Z198+AA198</f>
        <v>63.636626024720428</v>
      </c>
      <c r="AC198" s="70">
        <f t="shared" ref="AC198:AC202" si="679">AB198-AB$203</f>
        <v>-3.7119908280523362</v>
      </c>
      <c r="AD198" s="51">
        <f>AB198+H198</f>
        <v>104.57583221212528</v>
      </c>
      <c r="AE198" s="71">
        <f t="shared" ref="AE198:AE202" si="680">H198+AB198-J$203</f>
        <v>-6.53452733332729</v>
      </c>
      <c r="AG198" s="128">
        <f>E183</f>
        <v>93</v>
      </c>
      <c r="AH198" s="128">
        <f t="shared" ref="AH198:AH208" si="681">AC198</f>
        <v>-3.7119908280523362</v>
      </c>
      <c r="AI198" s="128">
        <f>I198</f>
        <v>-2.8225365052749538</v>
      </c>
      <c r="AJ198" s="128">
        <f t="shared" ref="AJ198:AJ208" si="682">AE198</f>
        <v>-6.53452733332729</v>
      </c>
      <c r="AK198" s="128">
        <f>T183</f>
        <v>-13.527000944073251</v>
      </c>
      <c r="AM198" s="134">
        <f t="shared" ref="AM198:AM208" si="683">AG198/AG$203-1</f>
        <v>5.6818181818181879E-2</v>
      </c>
      <c r="AN198" s="135">
        <f t="shared" ref="AN198:AN208" si="684">AB198/AB$203-1</f>
        <v>-5.5116066246273854E-2</v>
      </c>
      <c r="AO198" s="135">
        <f t="shared" ref="AO198:AO208" si="685">H198/H$203-1</f>
        <v>-6.4497808624680131E-2</v>
      </c>
      <c r="AP198" s="134">
        <f t="shared" ref="AP198:AP208" si="686">AD198/AD$203-1</f>
        <v>-5.8811143803869648E-2</v>
      </c>
      <c r="AQ198" s="134">
        <f t="shared" ref="AQ198:AQ208" si="687">(Q198+60)/(Q$203+60) -1</f>
        <v>0</v>
      </c>
      <c r="AS198" s="61">
        <f t="shared" ref="AS198:AS207" si="688">L198+X198</f>
        <v>94.779740244768732</v>
      </c>
    </row>
    <row r="199" spans="1:45">
      <c r="B199" s="20">
        <f t="shared" ref="B199:B208" si="689">B184</f>
        <v>183</v>
      </c>
      <c r="C199" s="18">
        <f t="shared" si="666"/>
        <v>162.89629500000001</v>
      </c>
      <c r="D199" s="21">
        <f t="shared" si="667"/>
        <v>19.131266776477304</v>
      </c>
      <c r="E199" s="20">
        <f t="shared" ref="E199:F208" si="690">E184</f>
        <v>92</v>
      </c>
      <c r="F199" s="63">
        <f t="shared" si="690"/>
        <v>160</v>
      </c>
      <c r="G199" s="20">
        <f t="shared" si="668"/>
        <v>28</v>
      </c>
      <c r="H199" s="69">
        <f t="shared" ref="H199:H208" si="691">DEGREES(ACOS((F199-D199)/2/(E199+2)))</f>
        <v>41.470068583142101</v>
      </c>
      <c r="I199" s="69">
        <f t="shared" si="669"/>
        <v>-2.2916741095376949</v>
      </c>
      <c r="J199" s="3"/>
      <c r="K199" s="21"/>
      <c r="L199" s="11">
        <f t="shared" si="670"/>
        <v>62.249497989943642</v>
      </c>
      <c r="M199" s="62">
        <f t="shared" si="671"/>
        <v>0</v>
      </c>
      <c r="N199" s="21"/>
      <c r="O199" s="21"/>
      <c r="P199" s="23">
        <f t="shared" si="672"/>
        <v>1</v>
      </c>
      <c r="Q199" s="20">
        <f t="shared" si="673"/>
        <v>183</v>
      </c>
      <c r="R199" s="23">
        <f t="shared" si="674"/>
        <v>0.3</v>
      </c>
      <c r="S199" s="3">
        <f t="shared" ref="S199:S202" si="692">Q199*R199</f>
        <v>54.9</v>
      </c>
      <c r="T199" s="3">
        <f t="shared" ref="T199:T202" si="693">S199/2</f>
        <v>27.45</v>
      </c>
      <c r="U199" s="61">
        <f t="shared" si="675"/>
        <v>52.55</v>
      </c>
      <c r="V199" s="3"/>
      <c r="W199" s="3">
        <f t="shared" si="676"/>
        <v>53.600881571728131</v>
      </c>
      <c r="X199" s="61">
        <f t="shared" ref="X199:X202" si="694">X$203-M199</f>
        <v>32.53024225482509</v>
      </c>
      <c r="Y199" s="3">
        <f>SQRT(X199*X199+U199*U199)</f>
        <v>61.803876586809722</v>
      </c>
      <c r="Z199" s="51">
        <f>DEGREES(ASIN(X199/Y199))</f>
        <v>31.75892033135543</v>
      </c>
      <c r="AA199" s="51">
        <f t="shared" si="677"/>
        <v>32.653944702734435</v>
      </c>
      <c r="AB199" s="4">
        <f t="shared" si="678"/>
        <v>64.412865034089862</v>
      </c>
      <c r="AC199" s="70">
        <f t="shared" si="679"/>
        <v>-2.9357518186829026</v>
      </c>
      <c r="AD199" s="51">
        <f t="shared" ref="AD199:AD208" si="695">AB199+H199</f>
        <v>105.88293361723197</v>
      </c>
      <c r="AE199" s="71">
        <f t="shared" si="680"/>
        <v>-5.2274259282205975</v>
      </c>
      <c r="AG199" s="128">
        <f t="shared" ref="AG199:AG208" si="696">E184</f>
        <v>92</v>
      </c>
      <c r="AH199" s="128">
        <f t="shared" si="681"/>
        <v>-2.9357518186829026</v>
      </c>
      <c r="AI199" s="128">
        <f t="shared" ref="AI199:AI208" si="697">I199</f>
        <v>-2.2916741095376949</v>
      </c>
      <c r="AJ199" s="128">
        <f t="shared" si="682"/>
        <v>-5.2274259282205975</v>
      </c>
      <c r="AK199" s="128">
        <f t="shared" ref="AK199:AK208" si="698">T184</f>
        <v>-10.868733223522696</v>
      </c>
      <c r="AM199" s="134">
        <f t="shared" si="683"/>
        <v>4.5454545454545414E-2</v>
      </c>
      <c r="AN199" s="135">
        <f t="shared" si="684"/>
        <v>-4.3590380261269379E-2</v>
      </c>
      <c r="AO199" s="135">
        <f t="shared" si="685"/>
        <v>-5.2367066952318408E-2</v>
      </c>
      <c r="AP199" s="134">
        <f t="shared" si="686"/>
        <v>-4.7047151585196456E-2</v>
      </c>
      <c r="AQ199" s="134">
        <f t="shared" si="687"/>
        <v>0</v>
      </c>
      <c r="AS199" s="61">
        <f t="shared" si="688"/>
        <v>94.779740244768732</v>
      </c>
    </row>
    <row r="200" spans="1:45">
      <c r="B200" s="20">
        <f t="shared" si="689"/>
        <v>183</v>
      </c>
      <c r="C200" s="18">
        <f t="shared" si="666"/>
        <v>162.89629500000001</v>
      </c>
      <c r="D200" s="21">
        <f t="shared" si="667"/>
        <v>21.811722639002397</v>
      </c>
      <c r="E200" s="20">
        <f t="shared" si="690"/>
        <v>91</v>
      </c>
      <c r="F200" s="63">
        <f t="shared" si="690"/>
        <v>160</v>
      </c>
      <c r="G200" s="20">
        <f t="shared" si="668"/>
        <v>26</v>
      </c>
      <c r="H200" s="69">
        <f t="shared" si="691"/>
        <v>42.016874167125351</v>
      </c>
      <c r="I200" s="69">
        <f t="shared" si="669"/>
        <v>-1.7448685255544447</v>
      </c>
      <c r="J200" s="3"/>
      <c r="K200" s="21"/>
      <c r="L200" s="11">
        <f t="shared" si="670"/>
        <v>62.24949798994367</v>
      </c>
      <c r="M200" s="62">
        <f t="shared" si="671"/>
        <v>0</v>
      </c>
      <c r="N200" s="21"/>
      <c r="O200" s="21"/>
      <c r="P200" s="23">
        <f t="shared" si="672"/>
        <v>1</v>
      </c>
      <c r="Q200" s="20">
        <f t="shared" si="673"/>
        <v>183</v>
      </c>
      <c r="R200" s="23">
        <f t="shared" si="674"/>
        <v>0.3</v>
      </c>
      <c r="S200" s="3">
        <f t="shared" si="692"/>
        <v>54.9</v>
      </c>
      <c r="T200" s="3">
        <f t="shared" si="693"/>
        <v>27.45</v>
      </c>
      <c r="U200" s="61">
        <f t="shared" si="675"/>
        <v>52.55</v>
      </c>
      <c r="V200" s="3"/>
      <c r="W200" s="3">
        <f t="shared" si="676"/>
        <v>53.600881571728131</v>
      </c>
      <c r="X200" s="61">
        <f t="shared" si="694"/>
        <v>32.53024225482509</v>
      </c>
      <c r="Y200" s="3">
        <f t="shared" ref="Y200:Y202" si="699">SQRT(X200*X200+U200*U200)</f>
        <v>61.803876586809722</v>
      </c>
      <c r="Z200" s="51">
        <f t="shared" ref="Z200:Z202" si="700">DEGREES(ASIN(X200/Y200))</f>
        <v>31.75892033135543</v>
      </c>
      <c r="AA200" s="51">
        <f t="shared" si="677"/>
        <v>33.41218979636578</v>
      </c>
      <c r="AB200" s="4">
        <f t="shared" si="678"/>
        <v>65.171110127721207</v>
      </c>
      <c r="AC200" s="70">
        <f t="shared" si="679"/>
        <v>-2.1775067250515576</v>
      </c>
      <c r="AD200" s="51">
        <f t="shared" si="695"/>
        <v>107.18798429484656</v>
      </c>
      <c r="AE200" s="71">
        <f t="shared" si="680"/>
        <v>-3.9223752506060094</v>
      </c>
      <c r="AG200" s="128">
        <f t="shared" si="696"/>
        <v>91</v>
      </c>
      <c r="AH200" s="128">
        <f t="shared" si="681"/>
        <v>-2.1775067250515576</v>
      </c>
      <c r="AI200" s="128">
        <f t="shared" si="697"/>
        <v>-1.7448685255544447</v>
      </c>
      <c r="AJ200" s="128">
        <f t="shared" si="682"/>
        <v>-3.9223752506060094</v>
      </c>
      <c r="AK200" s="128">
        <f t="shared" si="698"/>
        <v>-8.1882773609976027</v>
      </c>
      <c r="AM200" s="134">
        <f t="shared" si="683"/>
        <v>3.4090909090909172E-2</v>
      </c>
      <c r="AN200" s="135">
        <f t="shared" si="684"/>
        <v>-3.2331870004274732E-2</v>
      </c>
      <c r="AO200" s="135">
        <f t="shared" si="685"/>
        <v>-3.9872007333161208E-2</v>
      </c>
      <c r="AP200" s="134">
        <f t="shared" si="686"/>
        <v>-3.530161603879467E-2</v>
      </c>
      <c r="AQ200" s="134">
        <f t="shared" si="687"/>
        <v>0</v>
      </c>
      <c r="AS200" s="61">
        <f t="shared" si="688"/>
        <v>94.77974024476876</v>
      </c>
    </row>
    <row r="201" spans="1:45">
      <c r="B201" s="20">
        <f t="shared" si="689"/>
        <v>183</v>
      </c>
      <c r="C201" s="18">
        <f t="shared" si="666"/>
        <v>162.89629500000001</v>
      </c>
      <c r="D201" s="21">
        <f t="shared" si="667"/>
        <v>24.515683564480412</v>
      </c>
      <c r="E201" s="20">
        <f t="shared" si="690"/>
        <v>90</v>
      </c>
      <c r="F201" s="63">
        <f t="shared" si="690"/>
        <v>160</v>
      </c>
      <c r="G201" s="20">
        <f t="shared" si="668"/>
        <v>24</v>
      </c>
      <c r="H201" s="69">
        <f t="shared" si="691"/>
        <v>42.580466568656313</v>
      </c>
      <c r="I201" s="69">
        <f t="shared" si="669"/>
        <v>-1.1812761240234835</v>
      </c>
      <c r="J201" s="3"/>
      <c r="K201" s="21"/>
      <c r="L201" s="11">
        <f t="shared" si="670"/>
        <v>62.249497989943663</v>
      </c>
      <c r="M201" s="62">
        <f t="shared" si="671"/>
        <v>0</v>
      </c>
      <c r="N201" s="21"/>
      <c r="O201" s="21"/>
      <c r="P201" s="23">
        <f t="shared" si="672"/>
        <v>1</v>
      </c>
      <c r="Q201" s="20">
        <f t="shared" si="673"/>
        <v>183</v>
      </c>
      <c r="R201" s="23">
        <f t="shared" si="674"/>
        <v>0.3</v>
      </c>
      <c r="S201" s="3">
        <f t="shared" si="692"/>
        <v>54.9</v>
      </c>
      <c r="T201" s="3">
        <f t="shared" si="693"/>
        <v>27.45</v>
      </c>
      <c r="U201" s="61">
        <f t="shared" si="675"/>
        <v>52.55</v>
      </c>
      <c r="V201" s="3"/>
      <c r="W201" s="3">
        <f t="shared" si="676"/>
        <v>53.600881571728131</v>
      </c>
      <c r="X201" s="61">
        <f t="shared" si="694"/>
        <v>32.53024225482509</v>
      </c>
      <c r="Y201" s="3">
        <f t="shared" si="699"/>
        <v>61.803876586809722</v>
      </c>
      <c r="Z201" s="51">
        <f t="shared" si="700"/>
        <v>31.75892033135543</v>
      </c>
      <c r="AA201" s="51">
        <f t="shared" si="677"/>
        <v>34.15357538267493</v>
      </c>
      <c r="AB201" s="4">
        <f t="shared" si="678"/>
        <v>65.912495714030356</v>
      </c>
      <c r="AC201" s="70">
        <f t="shared" si="679"/>
        <v>-1.4361211387424078</v>
      </c>
      <c r="AD201" s="51">
        <f t="shared" si="695"/>
        <v>108.49296228268668</v>
      </c>
      <c r="AE201" s="71">
        <f t="shared" si="680"/>
        <v>-2.6173972627658912</v>
      </c>
      <c r="AG201" s="128">
        <f t="shared" si="696"/>
        <v>90</v>
      </c>
      <c r="AH201" s="128">
        <f t="shared" si="681"/>
        <v>-1.4361211387424078</v>
      </c>
      <c r="AI201" s="128">
        <f t="shared" si="697"/>
        <v>-1.1812761240234835</v>
      </c>
      <c r="AJ201" s="128">
        <f t="shared" si="682"/>
        <v>-2.6173972627658912</v>
      </c>
      <c r="AK201" s="128">
        <f t="shared" si="698"/>
        <v>-5.4843164355195881</v>
      </c>
      <c r="AM201" s="134">
        <f t="shared" si="683"/>
        <v>2.2727272727272707E-2</v>
      </c>
      <c r="AN201" s="135">
        <f t="shared" si="684"/>
        <v>-2.1323691648810539E-2</v>
      </c>
      <c r="AO201" s="135">
        <f t="shared" si="685"/>
        <v>-2.6993351985982073E-2</v>
      </c>
      <c r="AP201" s="134">
        <f t="shared" si="686"/>
        <v>-2.3556734704788362E-2</v>
      </c>
      <c r="AQ201" s="134">
        <f t="shared" si="687"/>
        <v>0</v>
      </c>
      <c r="AS201" s="61">
        <f t="shared" si="688"/>
        <v>94.77974024476876</v>
      </c>
    </row>
    <row r="202" spans="1:45">
      <c r="B202" s="20">
        <f t="shared" si="689"/>
        <v>183</v>
      </c>
      <c r="C202" s="18">
        <f t="shared" si="666"/>
        <v>162.89629500000001</v>
      </c>
      <c r="D202" s="21">
        <f t="shared" si="667"/>
        <v>27.244585797791274</v>
      </c>
      <c r="E202" s="20">
        <f t="shared" si="690"/>
        <v>89</v>
      </c>
      <c r="F202" s="63">
        <f t="shared" si="690"/>
        <v>160</v>
      </c>
      <c r="G202" s="20">
        <f t="shared" si="668"/>
        <v>22</v>
      </c>
      <c r="H202" s="69">
        <f t="shared" si="691"/>
        <v>43.161759039251329</v>
      </c>
      <c r="I202" s="69">
        <f t="shared" si="669"/>
        <v>-0.59998365342846682</v>
      </c>
      <c r="J202" s="3"/>
      <c r="K202" s="21"/>
      <c r="L202" s="11">
        <f t="shared" si="670"/>
        <v>62.249497989943656</v>
      </c>
      <c r="M202" s="62">
        <f t="shared" si="671"/>
        <v>0</v>
      </c>
      <c r="N202" s="21"/>
      <c r="O202" s="21"/>
      <c r="P202" s="23">
        <f>P$203</f>
        <v>1</v>
      </c>
      <c r="Q202" s="20">
        <f t="shared" si="673"/>
        <v>183</v>
      </c>
      <c r="R202" s="23">
        <f>R$203</f>
        <v>0.3</v>
      </c>
      <c r="S202" s="3">
        <f t="shared" si="692"/>
        <v>54.9</v>
      </c>
      <c r="T202" s="3">
        <f t="shared" si="693"/>
        <v>27.45</v>
      </c>
      <c r="U202" s="3">
        <f>U$203</f>
        <v>52.55</v>
      </c>
      <c r="V202" s="3"/>
      <c r="W202" s="3">
        <f t="shared" si="676"/>
        <v>53.600881571728131</v>
      </c>
      <c r="X202" s="61">
        <f t="shared" si="694"/>
        <v>32.53024225482509</v>
      </c>
      <c r="Y202" s="3">
        <f t="shared" si="699"/>
        <v>61.803876586809722</v>
      </c>
      <c r="Z202" s="51">
        <f t="shared" si="700"/>
        <v>31.75892033135543</v>
      </c>
      <c r="AA202" s="51">
        <f t="shared" si="677"/>
        <v>34.879110535937201</v>
      </c>
      <c r="AB202" s="4">
        <f t="shared" si="678"/>
        <v>66.638030867292628</v>
      </c>
      <c r="AC202" s="70">
        <f t="shared" si="679"/>
        <v>-0.71058598548013663</v>
      </c>
      <c r="AD202" s="51">
        <f t="shared" si="695"/>
        <v>109.79978990654396</v>
      </c>
      <c r="AE202" s="71">
        <f t="shared" si="680"/>
        <v>-1.3105696389086035</v>
      </c>
      <c r="AG202" s="128">
        <f t="shared" si="696"/>
        <v>89</v>
      </c>
      <c r="AH202" s="128">
        <f t="shared" si="681"/>
        <v>-0.71058598548013663</v>
      </c>
      <c r="AI202" s="128">
        <f t="shared" si="697"/>
        <v>-0.59998365342846682</v>
      </c>
      <c r="AJ202" s="128">
        <f t="shared" si="682"/>
        <v>-1.3105696389086035</v>
      </c>
      <c r="AK202" s="128">
        <f t="shared" si="698"/>
        <v>-2.7554142022087262</v>
      </c>
      <c r="AM202" s="134">
        <f t="shared" si="683"/>
        <v>1.1363636363636465E-2</v>
      </c>
      <c r="AN202" s="135">
        <f t="shared" si="684"/>
        <v>-1.0550862344114842E-2</v>
      </c>
      <c r="AO202" s="135">
        <f t="shared" si="685"/>
        <v>-1.3710232191663341E-2</v>
      </c>
      <c r="AP202" s="134">
        <f t="shared" si="686"/>
        <v>-1.179520653402677E-2</v>
      </c>
      <c r="AQ202" s="134">
        <f t="shared" si="687"/>
        <v>0</v>
      </c>
      <c r="AS202" s="61">
        <f t="shared" si="688"/>
        <v>94.779740244768746</v>
      </c>
    </row>
    <row r="203" spans="1:45" s="15" customFormat="1">
      <c r="B203" s="20">
        <f t="shared" si="689"/>
        <v>183</v>
      </c>
      <c r="C203" s="37">
        <f>100*(0.297865*B203/100+1.08387)</f>
        <v>162.89629500000001</v>
      </c>
      <c r="D203" s="122">
        <f t="shared" si="667"/>
        <v>30</v>
      </c>
      <c r="E203" s="20">
        <f t="shared" si="690"/>
        <v>88</v>
      </c>
      <c r="F203" s="63">
        <f t="shared" si="690"/>
        <v>160</v>
      </c>
      <c r="G203" s="38">
        <f>(E203+2)*2 -F203</f>
        <v>20</v>
      </c>
      <c r="H203" s="69">
        <f t="shared" si="691"/>
        <v>43.761742692679796</v>
      </c>
      <c r="I203" s="51">
        <f>H203-H$203</f>
        <v>0</v>
      </c>
      <c r="J203" s="52">
        <f>DEGREES(C203/(E203-6+2))</f>
        <v>111.11035954545257</v>
      </c>
      <c r="K203" s="39">
        <f>J203-H203</f>
        <v>67.348616852772778</v>
      </c>
      <c r="L203" s="41">
        <f t="shared" si="670"/>
        <v>62.249497989943649</v>
      </c>
      <c r="M203" s="62">
        <f>L203-L$203</f>
        <v>0</v>
      </c>
      <c r="N203" s="39">
        <f>(E203+2)*SIN(RADIANS(K203))</f>
        <v>83.057868711361749</v>
      </c>
      <c r="O203" s="39">
        <f>(F203/2)- (E203+2)*COS(RADIANS(K203))</f>
        <v>45.338920312168661</v>
      </c>
      <c r="P203" s="42">
        <v>1</v>
      </c>
      <c r="Q203" s="43">
        <f t="shared" si="673"/>
        <v>183</v>
      </c>
      <c r="R203" s="42">
        <v>0.3</v>
      </c>
      <c r="S203" s="39">
        <f>Q203*R203</f>
        <v>54.9</v>
      </c>
      <c r="T203" s="39">
        <f>S203/2</f>
        <v>27.45</v>
      </c>
      <c r="U203" s="39">
        <f>F203/2 -S203/2</f>
        <v>52.55</v>
      </c>
      <c r="V203" s="39">
        <f>O203-T203</f>
        <v>17.888920312168661</v>
      </c>
      <c r="W203" s="39">
        <f>COS(RADIANS(17))*((Q203-S203)/2-8)</f>
        <v>53.600881571728131</v>
      </c>
      <c r="X203" s="40">
        <f xml:space="preserve"> N203- SQRT(W203*W203-V203*V203)</f>
        <v>32.53024225482509</v>
      </c>
      <c r="Y203" s="39">
        <f>SQRT(X203*X203+U203*U203)</f>
        <v>61.803876586809722</v>
      </c>
      <c r="Z203" s="53">
        <f>DEGREES(ASIN(X203/Y203))</f>
        <v>31.75892033135543</v>
      </c>
      <c r="AA203" s="53">
        <f t="shared" si="677"/>
        <v>35.589696521417338</v>
      </c>
      <c r="AB203" s="52">
        <f t="shared" si="678"/>
        <v>67.348616852772764</v>
      </c>
      <c r="AC203" s="53">
        <f>AB203-AB$203</f>
        <v>0</v>
      </c>
      <c r="AD203" s="53">
        <f t="shared" si="695"/>
        <v>111.11035954545255</v>
      </c>
      <c r="AE203" s="54">
        <f>H203+AB203-J$203</f>
        <v>0</v>
      </c>
      <c r="AG203" s="128">
        <f t="shared" si="696"/>
        <v>88</v>
      </c>
      <c r="AH203" s="128">
        <f t="shared" si="681"/>
        <v>0</v>
      </c>
      <c r="AI203" s="128">
        <f t="shared" si="697"/>
        <v>0</v>
      </c>
      <c r="AJ203" s="128">
        <f t="shared" si="682"/>
        <v>0</v>
      </c>
      <c r="AK203" s="128">
        <f t="shared" si="698"/>
        <v>0</v>
      </c>
      <c r="AM203" s="134">
        <f t="shared" si="683"/>
        <v>0</v>
      </c>
      <c r="AN203" s="135">
        <f t="shared" si="684"/>
        <v>0</v>
      </c>
      <c r="AO203" s="135">
        <f t="shared" si="685"/>
        <v>0</v>
      </c>
      <c r="AP203" s="134">
        <f t="shared" si="686"/>
        <v>0</v>
      </c>
      <c r="AQ203" s="134">
        <f t="shared" si="687"/>
        <v>0</v>
      </c>
      <c r="AS203" s="61">
        <f t="shared" si="688"/>
        <v>94.779740244768732</v>
      </c>
    </row>
    <row r="204" spans="1:45">
      <c r="B204" s="20">
        <f t="shared" si="689"/>
        <v>183</v>
      </c>
      <c r="C204" s="18">
        <f t="shared" ref="C204:C208" si="701">100*(0.297865*B204/100+1.08387)</f>
        <v>162.89629500000001</v>
      </c>
      <c r="D204" s="21">
        <f t="shared" si="667"/>
        <v>32.783648849685974</v>
      </c>
      <c r="E204" s="20">
        <f t="shared" si="690"/>
        <v>87</v>
      </c>
      <c r="F204" s="63">
        <f t="shared" si="690"/>
        <v>160</v>
      </c>
      <c r="G204" s="20">
        <f t="shared" ref="G204:G208" si="702">(E204+2)*2 -F204</f>
        <v>18</v>
      </c>
      <c r="H204" s="69">
        <f t="shared" si="691"/>
        <v>44.381496055881662</v>
      </c>
      <c r="I204" s="69">
        <f t="shared" ref="I204:I208" si="703">H204-H$203</f>
        <v>0.61975336320186614</v>
      </c>
      <c r="J204" s="3"/>
      <c r="K204" s="21"/>
      <c r="L204" s="11">
        <f t="shared" si="670"/>
        <v>62.249497989943627</v>
      </c>
      <c r="M204" s="62">
        <f t="shared" ref="M204:M208" si="704">L204-L$203</f>
        <v>0</v>
      </c>
      <c r="N204" s="21"/>
      <c r="O204" s="21"/>
      <c r="P204" s="23">
        <f t="shared" ref="P204:P207" si="705">P$203</f>
        <v>1</v>
      </c>
      <c r="Q204" s="20">
        <f t="shared" si="673"/>
        <v>183</v>
      </c>
      <c r="R204" s="23">
        <f t="shared" ref="R204:R207" si="706">R$203</f>
        <v>0.3</v>
      </c>
      <c r="S204" s="3">
        <f>Q204*R204</f>
        <v>54.9</v>
      </c>
      <c r="T204" s="3">
        <f>S204/2</f>
        <v>27.45</v>
      </c>
      <c r="U204" s="61">
        <f t="shared" ref="U204:U207" si="707">U$203</f>
        <v>52.55</v>
      </c>
      <c r="V204" s="3"/>
      <c r="W204" s="3">
        <f t="shared" ref="W204:W208" si="708">COS(RADIANS(17))*((Q204-S204)/2 -8)</f>
        <v>53.600881571728131</v>
      </c>
      <c r="X204" s="3">
        <f>X$203-M204</f>
        <v>32.53024225482509</v>
      </c>
      <c r="Y204" s="3">
        <f>SQRT(X204*X204+U204*U204)</f>
        <v>61.803876586809722</v>
      </c>
      <c r="Z204" s="51">
        <f>DEGREES(ASIN(X204/Y204))</f>
        <v>31.75892033135543</v>
      </c>
      <c r="AA204" s="51">
        <f t="shared" si="677"/>
        <v>36.286141219078146</v>
      </c>
      <c r="AB204" s="4">
        <f t="shared" si="678"/>
        <v>68.045061550433573</v>
      </c>
      <c r="AC204" s="70">
        <f t="shared" ref="AC204:AC208" si="709">AB204-AB$203</f>
        <v>0.69644469766080874</v>
      </c>
      <c r="AD204" s="51">
        <f t="shared" si="695"/>
        <v>112.42655760631524</v>
      </c>
      <c r="AE204" s="71">
        <f t="shared" ref="AE204:AE208" si="710">H204+AB204-J$203</f>
        <v>1.3161980608626749</v>
      </c>
      <c r="AG204" s="128">
        <f t="shared" si="696"/>
        <v>87</v>
      </c>
      <c r="AH204" s="128">
        <f t="shared" si="681"/>
        <v>0.69644469766080874</v>
      </c>
      <c r="AI204" s="128">
        <f t="shared" si="697"/>
        <v>0.61975336320186614</v>
      </c>
      <c r="AJ204" s="128">
        <f t="shared" si="682"/>
        <v>1.3161980608626749</v>
      </c>
      <c r="AK204" s="128">
        <f t="shared" si="698"/>
        <v>2.7836488496859744</v>
      </c>
      <c r="AM204" s="134">
        <f t="shared" si="683"/>
        <v>-1.1363636363636354E-2</v>
      </c>
      <c r="AN204" s="135">
        <f t="shared" si="684"/>
        <v>1.0340890878030473E-2</v>
      </c>
      <c r="AO204" s="135">
        <f t="shared" si="685"/>
        <v>1.4161990018408011E-2</v>
      </c>
      <c r="AP204" s="134">
        <f t="shared" si="686"/>
        <v>1.1845862674256358E-2</v>
      </c>
      <c r="AQ204" s="134">
        <f t="shared" si="687"/>
        <v>0</v>
      </c>
      <c r="AS204" s="61">
        <f t="shared" si="688"/>
        <v>94.779740244768718</v>
      </c>
    </row>
    <row r="205" spans="1:45">
      <c r="B205" s="20">
        <f t="shared" si="689"/>
        <v>183</v>
      </c>
      <c r="C205" s="18">
        <f t="shared" si="701"/>
        <v>162.89629500000001</v>
      </c>
      <c r="D205" s="21">
        <f t="shared" si="667"/>
        <v>35.597427679328078</v>
      </c>
      <c r="E205" s="20">
        <f t="shared" si="690"/>
        <v>86</v>
      </c>
      <c r="F205" s="63">
        <f t="shared" si="690"/>
        <v>160</v>
      </c>
      <c r="G205" s="20">
        <f t="shared" si="702"/>
        <v>16</v>
      </c>
      <c r="H205" s="69">
        <f t="shared" si="691"/>
        <v>45.022196197796561</v>
      </c>
      <c r="I205" s="69">
        <f t="shared" si="703"/>
        <v>1.2604535051167645</v>
      </c>
      <c r="J205" s="3"/>
      <c r="K205" s="21"/>
      <c r="L205" s="11">
        <f t="shared" si="670"/>
        <v>62.249497989943634</v>
      </c>
      <c r="M205" s="62">
        <f t="shared" si="704"/>
        <v>0</v>
      </c>
      <c r="N205" s="21"/>
      <c r="O205" s="21"/>
      <c r="P205" s="23">
        <f t="shared" si="705"/>
        <v>1</v>
      </c>
      <c r="Q205" s="20">
        <f t="shared" si="673"/>
        <v>183</v>
      </c>
      <c r="R205" s="23">
        <f t="shared" si="706"/>
        <v>0.3</v>
      </c>
      <c r="S205" s="3">
        <f t="shared" ref="S205:S208" si="711">Q205*R205</f>
        <v>54.9</v>
      </c>
      <c r="T205" s="3">
        <f t="shared" ref="T205:T208" si="712">S205/2</f>
        <v>27.45</v>
      </c>
      <c r="U205" s="61">
        <f t="shared" si="707"/>
        <v>52.55</v>
      </c>
      <c r="V205" s="3"/>
      <c r="W205" s="3">
        <f t="shared" si="708"/>
        <v>53.600881571728131</v>
      </c>
      <c r="X205" s="61">
        <f t="shared" ref="X205:X208" si="713">X$203-M205</f>
        <v>32.53024225482509</v>
      </c>
      <c r="Y205" s="3">
        <f>SQRT(X205*X205+U205*U205)</f>
        <v>61.803876586809722</v>
      </c>
      <c r="Z205" s="51">
        <f>DEGREES(ASIN(X205/Y205))</f>
        <v>31.75892033135543</v>
      </c>
      <c r="AA205" s="51">
        <f t="shared" si="677"/>
        <v>36.969171085187803</v>
      </c>
      <c r="AB205" s="4">
        <f t="shared" si="678"/>
        <v>68.728091416543236</v>
      </c>
      <c r="AC205" s="70">
        <f t="shared" si="709"/>
        <v>1.3794745637704722</v>
      </c>
      <c r="AD205" s="51">
        <f t="shared" si="695"/>
        <v>113.7502876143398</v>
      </c>
      <c r="AE205" s="71">
        <f t="shared" si="710"/>
        <v>2.6399280688872295</v>
      </c>
      <c r="AG205" s="128">
        <f t="shared" si="696"/>
        <v>86</v>
      </c>
      <c r="AH205" s="128">
        <f t="shared" si="681"/>
        <v>1.3794745637704722</v>
      </c>
      <c r="AI205" s="128">
        <f t="shared" si="697"/>
        <v>1.2604535051167645</v>
      </c>
      <c r="AJ205" s="128">
        <f t="shared" si="682"/>
        <v>2.6399280688872295</v>
      </c>
      <c r="AK205" s="128">
        <f t="shared" si="698"/>
        <v>5.5974276793280779</v>
      </c>
      <c r="AM205" s="134">
        <f t="shared" si="683"/>
        <v>-2.2727272727272707E-2</v>
      </c>
      <c r="AN205" s="135">
        <f t="shared" si="684"/>
        <v>2.0482596796101538E-2</v>
      </c>
      <c r="AO205" s="135">
        <f t="shared" si="685"/>
        <v>2.8802635077135763E-2</v>
      </c>
      <c r="AP205" s="134">
        <f t="shared" si="686"/>
        <v>2.3759513331493842E-2</v>
      </c>
      <c r="AQ205" s="134">
        <f t="shared" si="687"/>
        <v>0</v>
      </c>
      <c r="AS205" s="61">
        <f t="shared" si="688"/>
        <v>94.779740244768732</v>
      </c>
    </row>
    <row r="206" spans="1:45">
      <c r="B206" s="20">
        <f t="shared" si="689"/>
        <v>183</v>
      </c>
      <c r="C206" s="18">
        <f t="shared" si="701"/>
        <v>162.89629500000001</v>
      </c>
      <c r="D206" s="21">
        <f t="shared" si="667"/>
        <v>38.443428807818009</v>
      </c>
      <c r="E206" s="20">
        <f t="shared" si="690"/>
        <v>85</v>
      </c>
      <c r="F206" s="63">
        <f t="shared" si="690"/>
        <v>160</v>
      </c>
      <c r="G206" s="20">
        <f t="shared" si="702"/>
        <v>14</v>
      </c>
      <c r="H206" s="69">
        <f t="shared" si="691"/>
        <v>45.6851317703983</v>
      </c>
      <c r="I206" s="69">
        <f t="shared" si="703"/>
        <v>1.9233890777185039</v>
      </c>
      <c r="J206" s="3"/>
      <c r="K206" s="21"/>
      <c r="L206" s="11">
        <f t="shared" si="670"/>
        <v>62.249497989943649</v>
      </c>
      <c r="M206" s="62">
        <f t="shared" si="704"/>
        <v>0</v>
      </c>
      <c r="N206" s="21"/>
      <c r="O206" s="21"/>
      <c r="P206" s="23">
        <f t="shared" si="705"/>
        <v>1</v>
      </c>
      <c r="Q206" s="20">
        <f t="shared" si="673"/>
        <v>183</v>
      </c>
      <c r="R206" s="23">
        <f t="shared" si="706"/>
        <v>0.3</v>
      </c>
      <c r="S206" s="3">
        <f t="shared" si="711"/>
        <v>54.9</v>
      </c>
      <c r="T206" s="3">
        <f t="shared" si="712"/>
        <v>27.45</v>
      </c>
      <c r="U206" s="61">
        <f t="shared" si="707"/>
        <v>52.55</v>
      </c>
      <c r="V206" s="3"/>
      <c r="W206" s="3">
        <f t="shared" si="708"/>
        <v>53.600881571728131</v>
      </c>
      <c r="X206" s="61">
        <f t="shared" si="713"/>
        <v>32.53024225482509</v>
      </c>
      <c r="Y206" s="3">
        <f t="shared" ref="Y206:Y208" si="714">SQRT(X206*X206+U206*U206)</f>
        <v>61.803876586809722</v>
      </c>
      <c r="Z206" s="51">
        <f t="shared" ref="Z206:Z208" si="715">DEGREES(ASIN(X206/Y206))</f>
        <v>31.75892033135543</v>
      </c>
      <c r="AA206" s="51">
        <f t="shared" si="677"/>
        <v>37.639441140462203</v>
      </c>
      <c r="AB206" s="4">
        <f t="shared" si="678"/>
        <v>69.398361471817637</v>
      </c>
      <c r="AC206" s="70">
        <f t="shared" si="709"/>
        <v>2.0497446190448727</v>
      </c>
      <c r="AD206" s="51">
        <f t="shared" si="695"/>
        <v>115.08349324221594</v>
      </c>
      <c r="AE206" s="71">
        <f t="shared" si="710"/>
        <v>3.9731336967633695</v>
      </c>
      <c r="AG206" s="128">
        <f t="shared" si="696"/>
        <v>85</v>
      </c>
      <c r="AH206" s="128">
        <f t="shared" si="681"/>
        <v>2.0497446190448727</v>
      </c>
      <c r="AI206" s="128">
        <f t="shared" si="697"/>
        <v>1.9233890777185039</v>
      </c>
      <c r="AJ206" s="128">
        <f t="shared" si="682"/>
        <v>3.9731336967633695</v>
      </c>
      <c r="AK206" s="128">
        <f t="shared" si="698"/>
        <v>8.4434288078180089</v>
      </c>
      <c r="AM206" s="134">
        <f t="shared" si="683"/>
        <v>-3.4090909090909061E-2</v>
      </c>
      <c r="AN206" s="135">
        <f t="shared" si="684"/>
        <v>3.0434843577050952E-2</v>
      </c>
      <c r="AO206" s="135">
        <f t="shared" si="685"/>
        <v>4.3951382174737708E-2</v>
      </c>
      <c r="AP206" s="134">
        <f t="shared" si="686"/>
        <v>3.5758445144244755E-2</v>
      </c>
      <c r="AQ206" s="134">
        <f t="shared" si="687"/>
        <v>0</v>
      </c>
      <c r="AS206" s="61">
        <f t="shared" si="688"/>
        <v>94.779740244768732</v>
      </c>
    </row>
    <row r="207" spans="1:45">
      <c r="B207" s="20">
        <f t="shared" si="689"/>
        <v>183</v>
      </c>
      <c r="C207" s="18">
        <f t="shared" si="701"/>
        <v>162.89629500000001</v>
      </c>
      <c r="D207" s="21">
        <f t="shared" si="667"/>
        <v>41.323970406825595</v>
      </c>
      <c r="E207" s="20">
        <f t="shared" si="690"/>
        <v>84</v>
      </c>
      <c r="F207" s="63">
        <f t="shared" si="690"/>
        <v>160</v>
      </c>
      <c r="G207" s="20">
        <f t="shared" si="702"/>
        <v>12</v>
      </c>
      <c r="H207" s="69">
        <f t="shared" si="691"/>
        <v>46.37171838392522</v>
      </c>
      <c r="I207" s="69">
        <f t="shared" si="703"/>
        <v>2.6099756912454239</v>
      </c>
      <c r="J207" s="3"/>
      <c r="K207" s="21"/>
      <c r="L207" s="11">
        <f t="shared" si="670"/>
        <v>62.249497989943663</v>
      </c>
      <c r="M207" s="62">
        <f t="shared" si="704"/>
        <v>0</v>
      </c>
      <c r="N207" s="21"/>
      <c r="O207" s="21"/>
      <c r="P207" s="23">
        <f t="shared" si="705"/>
        <v>1</v>
      </c>
      <c r="Q207" s="20">
        <f t="shared" si="673"/>
        <v>183</v>
      </c>
      <c r="R207" s="23">
        <f t="shared" si="706"/>
        <v>0.3</v>
      </c>
      <c r="S207" s="3">
        <f t="shared" si="711"/>
        <v>54.9</v>
      </c>
      <c r="T207" s="3">
        <f t="shared" si="712"/>
        <v>27.45</v>
      </c>
      <c r="U207" s="61">
        <f t="shared" si="707"/>
        <v>52.55</v>
      </c>
      <c r="V207" s="3"/>
      <c r="W207" s="3">
        <f t="shared" si="708"/>
        <v>53.600881571728131</v>
      </c>
      <c r="X207" s="61">
        <f t="shared" si="713"/>
        <v>32.53024225482509</v>
      </c>
      <c r="Y207" s="3">
        <f t="shared" si="714"/>
        <v>61.803876586809722</v>
      </c>
      <c r="Z207" s="51">
        <f t="shared" si="715"/>
        <v>31.75892033135543</v>
      </c>
      <c r="AA207" s="51">
        <f t="shared" si="677"/>
        <v>38.29754336218614</v>
      </c>
      <c r="AB207" s="4">
        <f t="shared" si="678"/>
        <v>70.056463693541573</v>
      </c>
      <c r="AC207" s="70">
        <f t="shared" si="709"/>
        <v>2.7078468407688092</v>
      </c>
      <c r="AD207" s="51">
        <f t="shared" si="695"/>
        <v>116.4281820774668</v>
      </c>
      <c r="AE207" s="71">
        <f t="shared" si="710"/>
        <v>5.3178225320142332</v>
      </c>
      <c r="AG207" s="128">
        <f t="shared" si="696"/>
        <v>84</v>
      </c>
      <c r="AH207" s="128">
        <f t="shared" si="681"/>
        <v>2.7078468407688092</v>
      </c>
      <c r="AI207" s="128">
        <f t="shared" si="697"/>
        <v>2.6099756912454239</v>
      </c>
      <c r="AJ207" s="128">
        <f t="shared" si="682"/>
        <v>5.3178225320142332</v>
      </c>
      <c r="AK207" s="128">
        <f t="shared" si="698"/>
        <v>11.323970406825595</v>
      </c>
      <c r="AM207" s="134">
        <f t="shared" si="683"/>
        <v>-4.5454545454545414E-2</v>
      </c>
      <c r="AN207" s="135">
        <f t="shared" si="684"/>
        <v>4.0206420967609402E-2</v>
      </c>
      <c r="AO207" s="135">
        <f t="shared" si="685"/>
        <v>5.9640579434282914E-2</v>
      </c>
      <c r="AP207" s="134">
        <f t="shared" si="686"/>
        <v>4.7860726522434227E-2</v>
      </c>
      <c r="AQ207" s="134">
        <f t="shared" si="687"/>
        <v>0</v>
      </c>
      <c r="AS207" s="61">
        <f t="shared" si="688"/>
        <v>94.77974024476876</v>
      </c>
    </row>
    <row r="208" spans="1:45">
      <c r="B208" s="20">
        <f t="shared" si="689"/>
        <v>183</v>
      </c>
      <c r="C208" s="18">
        <f t="shared" si="701"/>
        <v>162.89629500000001</v>
      </c>
      <c r="D208" s="21">
        <f t="shared" si="667"/>
        <v>44.241630972097738</v>
      </c>
      <c r="E208" s="20">
        <f t="shared" si="690"/>
        <v>83</v>
      </c>
      <c r="F208" s="63">
        <f t="shared" si="690"/>
        <v>160</v>
      </c>
      <c r="G208" s="20">
        <f t="shared" si="702"/>
        <v>10</v>
      </c>
      <c r="H208" s="69">
        <f t="shared" si="691"/>
        <v>47.083516853785049</v>
      </c>
      <c r="I208" s="69">
        <f t="shared" si="703"/>
        <v>3.3217741611052531</v>
      </c>
      <c r="J208" s="3"/>
      <c r="K208" s="21"/>
      <c r="L208" s="11">
        <f t="shared" si="670"/>
        <v>62.249497989943656</v>
      </c>
      <c r="M208" s="62">
        <f t="shared" si="704"/>
        <v>0</v>
      </c>
      <c r="N208" s="21"/>
      <c r="O208" s="21"/>
      <c r="P208" s="23">
        <f>P$203</f>
        <v>1</v>
      </c>
      <c r="Q208" s="20">
        <f t="shared" si="673"/>
        <v>183</v>
      </c>
      <c r="R208" s="23">
        <f>R$203</f>
        <v>0.3</v>
      </c>
      <c r="S208" s="3">
        <f t="shared" si="711"/>
        <v>54.9</v>
      </c>
      <c r="T208" s="3">
        <f t="shared" si="712"/>
        <v>27.45</v>
      </c>
      <c r="U208" s="61">
        <f>U$203</f>
        <v>52.55</v>
      </c>
      <c r="V208" s="3"/>
      <c r="W208" s="3">
        <f t="shared" si="708"/>
        <v>53.600881571728131</v>
      </c>
      <c r="X208" s="61">
        <f t="shared" si="713"/>
        <v>32.53024225482509</v>
      </c>
      <c r="Y208" s="3">
        <f t="shared" si="714"/>
        <v>61.803876586809722</v>
      </c>
      <c r="Z208" s="51">
        <f t="shared" si="715"/>
        <v>31.75892033135543</v>
      </c>
      <c r="AA208" s="51">
        <f t="shared" si="677"/>
        <v>38.944013774713035</v>
      </c>
      <c r="AB208" s="4">
        <f t="shared" si="678"/>
        <v>70.702934106068469</v>
      </c>
      <c r="AC208" s="70">
        <f t="shared" si="709"/>
        <v>3.3543172532957044</v>
      </c>
      <c r="AD208" s="51">
        <f t="shared" si="695"/>
        <v>117.78645095985351</v>
      </c>
      <c r="AE208" s="71">
        <f t="shared" si="710"/>
        <v>6.6760914144009433</v>
      </c>
      <c r="AG208" s="128">
        <f t="shared" si="696"/>
        <v>83</v>
      </c>
      <c r="AH208" s="128">
        <f t="shared" si="681"/>
        <v>3.3543172532957044</v>
      </c>
      <c r="AI208" s="128">
        <f t="shared" si="697"/>
        <v>3.3217741611052531</v>
      </c>
      <c r="AJ208" s="128">
        <f t="shared" si="682"/>
        <v>6.6760914144009433</v>
      </c>
      <c r="AK208" s="128">
        <f t="shared" si="698"/>
        <v>14.241630972097738</v>
      </c>
      <c r="AL208" s="61">
        <f>L208+X208</f>
        <v>94.779740244768746</v>
      </c>
      <c r="AM208" s="134">
        <f t="shared" si="683"/>
        <v>-5.6818181818181768E-2</v>
      </c>
      <c r="AN208" s="135">
        <f t="shared" si="684"/>
        <v>4.9805287918954555E-2</v>
      </c>
      <c r="AO208" s="135">
        <f t="shared" si="685"/>
        <v>7.5905893063552554E-2</v>
      </c>
      <c r="AP208" s="134">
        <f t="shared" si="686"/>
        <v>6.0085229151561892E-2</v>
      </c>
      <c r="AQ208" s="134">
        <f t="shared" si="687"/>
        <v>0</v>
      </c>
    </row>
    <row r="209" spans="1:43" s="12" customFormat="1">
      <c r="B209" s="5"/>
      <c r="C209" s="13"/>
      <c r="D209" s="13"/>
      <c r="E209" s="5"/>
      <c r="F209" s="13"/>
      <c r="G209" s="5"/>
      <c r="H209" s="104"/>
      <c r="I209" s="104"/>
      <c r="J209" s="13"/>
      <c r="K209" s="13"/>
      <c r="L209" s="13"/>
      <c r="M209" s="13"/>
      <c r="N209" s="13"/>
      <c r="O209" s="13"/>
      <c r="P209" s="103"/>
      <c r="Q209" s="5"/>
      <c r="R209" s="103"/>
      <c r="S209" s="13"/>
      <c r="T209" s="13"/>
      <c r="U209" s="13"/>
      <c r="V209" s="13"/>
      <c r="W209" s="13"/>
      <c r="X209" s="13"/>
      <c r="Y209" s="13"/>
      <c r="Z209" s="104"/>
      <c r="AA209" s="104"/>
      <c r="AB209" s="104"/>
      <c r="AC209" s="109"/>
      <c r="AD209" s="104"/>
      <c r="AE209" s="109"/>
      <c r="AG209" s="131"/>
      <c r="AH209" s="131"/>
      <c r="AI209" s="131"/>
      <c r="AJ209" s="131"/>
      <c r="AK209" s="131"/>
      <c r="AM209" s="152"/>
      <c r="AN209" s="153"/>
      <c r="AO209" s="153"/>
      <c r="AP209" s="152"/>
      <c r="AQ209" s="152"/>
    </row>
    <row r="210" spans="1:43">
      <c r="A210" s="15" t="s">
        <v>116</v>
      </c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 t="s">
        <v>110</v>
      </c>
      <c r="AH210" s="59"/>
      <c r="AI210" s="59"/>
      <c r="AJ210" s="59"/>
      <c r="AK210" s="59"/>
    </row>
    <row r="211" spans="1:43">
      <c r="A211" s="2" t="s">
        <v>107</v>
      </c>
      <c r="B211" s="60">
        <v>0</v>
      </c>
      <c r="C211" s="2"/>
      <c r="D211" s="20">
        <v>0</v>
      </c>
      <c r="E211" s="60">
        <v>0</v>
      </c>
      <c r="F211" s="60">
        <v>0</v>
      </c>
      <c r="G211" s="59"/>
      <c r="H211" s="60">
        <v>1</v>
      </c>
      <c r="I211" s="59"/>
      <c r="J211" s="59"/>
      <c r="K211" s="59"/>
      <c r="L211" s="59"/>
      <c r="M211" s="59"/>
      <c r="N211" s="59"/>
      <c r="O211" s="59"/>
      <c r="P211" s="2" t="s">
        <v>52</v>
      </c>
      <c r="Q211" s="2"/>
      <c r="R211" s="2"/>
      <c r="S211" s="138"/>
      <c r="T211" s="138"/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59"/>
      <c r="AF211" s="59"/>
      <c r="AG211" s="59"/>
      <c r="AH211" s="59"/>
      <c r="AI211" s="59"/>
      <c r="AJ211" s="59"/>
      <c r="AK211" s="59"/>
    </row>
    <row r="212" spans="1:43" ht="135">
      <c r="A212" s="27"/>
      <c r="B212" s="28" t="s">
        <v>12</v>
      </c>
      <c r="C212" s="48" t="s">
        <v>8</v>
      </c>
      <c r="D212" s="65" t="s">
        <v>42</v>
      </c>
      <c r="E212" s="143" t="s">
        <v>3</v>
      </c>
      <c r="F212" s="143" t="s">
        <v>4</v>
      </c>
      <c r="G212" s="28" t="s">
        <v>41</v>
      </c>
      <c r="H212" s="65" t="s">
        <v>118</v>
      </c>
      <c r="I212" s="66" t="s">
        <v>1</v>
      </c>
      <c r="J212" s="66" t="s">
        <v>6</v>
      </c>
      <c r="K212" s="66" t="s">
        <v>5</v>
      </c>
      <c r="L212" s="35"/>
      <c r="M212" s="66" t="s">
        <v>21</v>
      </c>
      <c r="N212" s="66" t="s">
        <v>20</v>
      </c>
      <c r="O212" s="66" t="s">
        <v>22</v>
      </c>
      <c r="P212" s="31" t="s">
        <v>49</v>
      </c>
      <c r="Q212" s="31" t="s">
        <v>9</v>
      </c>
      <c r="R212" s="28" t="s">
        <v>18</v>
      </c>
      <c r="S212" s="28" t="s">
        <v>19</v>
      </c>
      <c r="T212" s="73" t="s">
        <v>83</v>
      </c>
      <c r="U212" s="27"/>
      <c r="V212" s="27"/>
      <c r="W212" s="27"/>
      <c r="X212" s="35"/>
      <c r="Y212" s="35"/>
      <c r="Z212" s="35"/>
      <c r="AA212" s="35"/>
      <c r="AB212" s="35"/>
      <c r="AC212" s="35"/>
      <c r="AD212" s="35"/>
      <c r="AE212" s="35"/>
      <c r="AF212" s="35"/>
      <c r="AG212" s="28" t="str">
        <f>H212</f>
        <v>Stretcher movement to stern (cm)</v>
      </c>
      <c r="AH212" s="28" t="s">
        <v>113</v>
      </c>
      <c r="AI212" s="28" t="s">
        <v>114</v>
      </c>
      <c r="AJ212" s="28" t="s">
        <v>115</v>
      </c>
      <c r="AK212" s="28" t="str">
        <f>T212</f>
        <v>change in distance between handles (cm / cm)</v>
      </c>
    </row>
    <row r="213" spans="1:43">
      <c r="A213" s="59"/>
      <c r="B213" s="140">
        <f t="shared" ref="B213" si="716">5*B211+B218</f>
        <v>183</v>
      </c>
      <c r="C213" s="18">
        <f t="shared" ref="C213:C217" si="717">100*(0.297865*B213/100+1.08387)</f>
        <v>162.89629500000001</v>
      </c>
      <c r="D213" s="63">
        <f t="shared" ref="D213:D216" si="718">2*(F213/2-(E213+2)*(COS(RADIANS(I213))))</f>
        <v>21.111627845964904</v>
      </c>
      <c r="E213" s="140">
        <f t="shared" ref="E213" si="719">5*E211+E218</f>
        <v>88</v>
      </c>
      <c r="F213" s="140">
        <f>5*F211+F218</f>
        <v>160</v>
      </c>
      <c r="G213" s="63">
        <f t="shared" ref="G213:G217" si="720">(E213+2)*2 -F213</f>
        <v>20</v>
      </c>
      <c r="H213" s="63">
        <f>5*H211+H218</f>
        <v>5</v>
      </c>
      <c r="I213" s="9">
        <f t="shared" ref="I213:I216" si="721">DEGREES(ASIN((P213)/(E213+2)))</f>
        <v>39.502028109618998</v>
      </c>
      <c r="J213" s="9">
        <f t="shared" ref="J213:J223" si="722">DEGREES(C213/(E213-6+2))</f>
        <v>111.11035954545257</v>
      </c>
      <c r="K213" s="9">
        <f t="shared" ref="K213:K217" si="723">J213-I213</f>
        <v>71.608331435833577</v>
      </c>
      <c r="L213" s="59"/>
      <c r="M213" s="84">
        <f t="shared" ref="M213:M217" si="724">K213-K$218</f>
        <v>4.2597145830607985</v>
      </c>
      <c r="N213" s="84">
        <f>I213-I$218</f>
        <v>-4.2597145830607985</v>
      </c>
      <c r="O213" s="84">
        <f>J213-J$218</f>
        <v>0</v>
      </c>
      <c r="P213" s="62">
        <f t="shared" ref="P213:P216" si="725">P$218-H213</f>
        <v>57.249497989943649</v>
      </c>
      <c r="Q213" s="62">
        <f t="shared" ref="Q213:Q217" si="726">P213-P$218</f>
        <v>-5</v>
      </c>
      <c r="R213" s="49">
        <f t="shared" ref="R213:R223" si="727">(E213+2)*SIN(RADIANS(K213))</f>
        <v>85.402971040551037</v>
      </c>
      <c r="S213" s="49">
        <f t="shared" ref="S213:S223" si="728">(F213/2)- (E213+2)*COS(RADIANS(K213))</f>
        <v>51.604004904796867</v>
      </c>
      <c r="T213" s="39">
        <f t="shared" ref="T213:T217" si="729">D213-D$218</f>
        <v>-8.8883721540350962</v>
      </c>
      <c r="U213" s="59"/>
      <c r="V213" s="59"/>
      <c r="W213" s="59"/>
      <c r="X213" s="59"/>
      <c r="Y213" s="59"/>
      <c r="Z213" s="59"/>
      <c r="AA213" s="59"/>
      <c r="AB213" s="59"/>
      <c r="AC213" s="59"/>
      <c r="AD213" s="59"/>
      <c r="AE213" s="59"/>
      <c r="AF213" s="59"/>
      <c r="AG213" s="128">
        <f>H213</f>
        <v>5</v>
      </c>
      <c r="AH213" s="128">
        <f>M213</f>
        <v>4.2597145830607985</v>
      </c>
      <c r="AI213" s="128">
        <f>N213</f>
        <v>-4.2597145830607985</v>
      </c>
      <c r="AJ213" s="128">
        <f t="shared" ref="AJ213:AJ223" si="730">O213</f>
        <v>0</v>
      </c>
      <c r="AK213" s="128">
        <f>T213</f>
        <v>-8.8883721540350962</v>
      </c>
    </row>
    <row r="214" spans="1:43">
      <c r="A214" s="59"/>
      <c r="B214" s="140">
        <f t="shared" ref="B214" si="731">4*B211+B218</f>
        <v>183</v>
      </c>
      <c r="C214" s="18">
        <f t="shared" si="717"/>
        <v>162.89629500000001</v>
      </c>
      <c r="D214" s="63">
        <f t="shared" si="718"/>
        <v>22.78489902464014</v>
      </c>
      <c r="E214" s="140">
        <f t="shared" ref="E214" si="732">4*E211+E218</f>
        <v>88</v>
      </c>
      <c r="F214" s="140">
        <f>4*F211+F218</f>
        <v>160</v>
      </c>
      <c r="G214" s="63">
        <f t="shared" si="720"/>
        <v>20</v>
      </c>
      <c r="H214" s="63">
        <f>4*H211+H218</f>
        <v>4</v>
      </c>
      <c r="I214" s="9">
        <f t="shared" si="721"/>
        <v>40.332076015646244</v>
      </c>
      <c r="J214" s="9">
        <f t="shared" si="722"/>
        <v>111.11035954545257</v>
      </c>
      <c r="K214" s="9">
        <f t="shared" si="723"/>
        <v>70.778283529806316</v>
      </c>
      <c r="L214" s="59"/>
      <c r="M214" s="84">
        <f t="shared" si="724"/>
        <v>3.4296666770335378</v>
      </c>
      <c r="N214" s="84">
        <f t="shared" ref="N214:N223" si="733">I214-I$218</f>
        <v>-3.429666677033552</v>
      </c>
      <c r="O214" s="84">
        <f t="shared" ref="O214:O223" si="734">J214-J$218</f>
        <v>0</v>
      </c>
      <c r="P214" s="62">
        <f t="shared" si="725"/>
        <v>58.249497989943649</v>
      </c>
      <c r="Q214" s="62">
        <f t="shared" si="726"/>
        <v>-4</v>
      </c>
      <c r="R214" s="49">
        <f t="shared" si="727"/>
        <v>84.982648867655953</v>
      </c>
      <c r="S214" s="49">
        <f t="shared" si="728"/>
        <v>50.369789210390451</v>
      </c>
      <c r="T214" s="39">
        <f t="shared" si="729"/>
        <v>-7.2151009753598601</v>
      </c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128">
        <f t="shared" ref="AG214:AG223" si="735">H214</f>
        <v>4</v>
      </c>
      <c r="AH214" s="128">
        <f t="shared" ref="AH214:AH223" si="736">M214</f>
        <v>3.4296666770335378</v>
      </c>
      <c r="AI214" s="128">
        <f t="shared" ref="AI214:AI223" si="737">N214</f>
        <v>-3.429666677033552</v>
      </c>
      <c r="AJ214" s="128">
        <f t="shared" si="730"/>
        <v>0</v>
      </c>
      <c r="AK214" s="128">
        <f t="shared" ref="AK214:AK223" si="738">T214</f>
        <v>-7.2151009753598601</v>
      </c>
    </row>
    <row r="215" spans="1:43">
      <c r="A215" s="59"/>
      <c r="B215" s="140">
        <f t="shared" ref="B215" si="739">3*B211+B218</f>
        <v>183</v>
      </c>
      <c r="C215" s="18">
        <f t="shared" si="717"/>
        <v>162.89629500000001</v>
      </c>
      <c r="D215" s="63">
        <f t="shared" si="718"/>
        <v>24.508347298593151</v>
      </c>
      <c r="E215" s="140">
        <f t="shared" ref="E215" si="740">3*E211+E218</f>
        <v>88</v>
      </c>
      <c r="F215" s="140">
        <f>3*F211+F218</f>
        <v>160</v>
      </c>
      <c r="G215" s="63">
        <f t="shared" si="720"/>
        <v>20</v>
      </c>
      <c r="H215" s="63">
        <f>3*H211+H218</f>
        <v>3</v>
      </c>
      <c r="I215" s="9">
        <f t="shared" si="721"/>
        <v>41.172462277288687</v>
      </c>
      <c r="J215" s="9">
        <f t="shared" si="722"/>
        <v>111.11035954545257</v>
      </c>
      <c r="K215" s="9">
        <f t="shared" si="723"/>
        <v>69.93789726816388</v>
      </c>
      <c r="L215" s="59"/>
      <c r="M215" s="84">
        <f t="shared" si="724"/>
        <v>2.5892804153911015</v>
      </c>
      <c r="N215" s="84">
        <f t="shared" si="733"/>
        <v>-2.5892804153911086</v>
      </c>
      <c r="O215" s="84">
        <f t="shared" si="734"/>
        <v>0</v>
      </c>
      <c r="P215" s="62">
        <f t="shared" si="725"/>
        <v>59.249497989943649</v>
      </c>
      <c r="Q215" s="62">
        <f t="shared" si="726"/>
        <v>-3</v>
      </c>
      <c r="R215" s="49">
        <f t="shared" si="727"/>
        <v>84.53892187896291</v>
      </c>
      <c r="S215" s="49">
        <f t="shared" si="728"/>
        <v>49.126537486983956</v>
      </c>
      <c r="T215" s="39">
        <f t="shared" si="729"/>
        <v>-5.4916527014068492</v>
      </c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128">
        <f t="shared" si="735"/>
        <v>3</v>
      </c>
      <c r="AH215" s="128">
        <f t="shared" si="736"/>
        <v>2.5892804153911015</v>
      </c>
      <c r="AI215" s="128">
        <f t="shared" si="737"/>
        <v>-2.5892804153911086</v>
      </c>
      <c r="AJ215" s="128">
        <f t="shared" si="730"/>
        <v>0</v>
      </c>
      <c r="AK215" s="128">
        <f t="shared" si="738"/>
        <v>-5.4916527014068492</v>
      </c>
    </row>
    <row r="216" spans="1:43">
      <c r="A216" s="59"/>
      <c r="B216" s="140">
        <f t="shared" ref="B216" si="741">2*B211+B218</f>
        <v>183</v>
      </c>
      <c r="C216" s="18">
        <f t="shared" si="717"/>
        <v>162.89629500000001</v>
      </c>
      <c r="D216" s="63">
        <f t="shared" si="718"/>
        <v>26.283912830807424</v>
      </c>
      <c r="E216" s="140">
        <f t="shared" ref="E216" si="742">2*E211+E218</f>
        <v>88</v>
      </c>
      <c r="F216" s="140">
        <f>2*F211+F218</f>
        <v>160</v>
      </c>
      <c r="G216" s="63">
        <f t="shared" si="720"/>
        <v>20</v>
      </c>
      <c r="H216" s="63">
        <f>2*H211+H218</f>
        <v>2</v>
      </c>
      <c r="I216" s="9">
        <f t="shared" si="721"/>
        <v>42.023771016995425</v>
      </c>
      <c r="J216" s="9">
        <f t="shared" si="722"/>
        <v>111.11035954545257</v>
      </c>
      <c r="K216" s="9">
        <f t="shared" si="723"/>
        <v>69.086588528457142</v>
      </c>
      <c r="L216" s="59"/>
      <c r="M216" s="84">
        <f t="shared" si="724"/>
        <v>1.7379716756843635</v>
      </c>
      <c r="N216" s="84">
        <f t="shared" si="733"/>
        <v>-1.7379716756843706</v>
      </c>
      <c r="O216" s="84">
        <f t="shared" si="734"/>
        <v>0</v>
      </c>
      <c r="P216" s="62">
        <f t="shared" si="725"/>
        <v>60.249497989943649</v>
      </c>
      <c r="Q216" s="62">
        <f t="shared" si="726"/>
        <v>-2</v>
      </c>
      <c r="R216" s="49">
        <f t="shared" si="727"/>
        <v>84.070885096672811</v>
      </c>
      <c r="S216" s="49">
        <f t="shared" si="728"/>
        <v>47.873900344703571</v>
      </c>
      <c r="T216" s="39">
        <f t="shared" si="729"/>
        <v>-3.7160871691925763</v>
      </c>
      <c r="U216" s="59"/>
      <c r="V216" s="59"/>
      <c r="W216" s="59"/>
      <c r="X216" s="59"/>
      <c r="Y216" s="59"/>
      <c r="Z216" s="59"/>
      <c r="AA216" s="59"/>
      <c r="AB216" s="59"/>
      <c r="AC216" s="59"/>
      <c r="AD216" s="59"/>
      <c r="AE216" s="59"/>
      <c r="AF216" s="59"/>
      <c r="AG216" s="128">
        <f t="shared" si="735"/>
        <v>2</v>
      </c>
      <c r="AH216" s="128">
        <f t="shared" si="736"/>
        <v>1.7379716756843635</v>
      </c>
      <c r="AI216" s="128">
        <f t="shared" si="737"/>
        <v>-1.7379716756843706</v>
      </c>
      <c r="AJ216" s="128">
        <f t="shared" si="730"/>
        <v>0</v>
      </c>
      <c r="AK216" s="128">
        <f t="shared" si="738"/>
        <v>-3.7160871691925763</v>
      </c>
    </row>
    <row r="217" spans="1:43">
      <c r="A217" s="59"/>
      <c r="B217" s="140">
        <f t="shared" ref="B217" si="743">B218+B211</f>
        <v>183</v>
      </c>
      <c r="C217" s="18">
        <f t="shared" si="717"/>
        <v>162.89629500000001</v>
      </c>
      <c r="D217" s="63">
        <f>2*(F217/2-(E217+2)*(COS(RADIANS(I217))))</f>
        <v>28.113700545054485</v>
      </c>
      <c r="E217" s="140">
        <f t="shared" ref="E217" si="744">E218+E211</f>
        <v>88</v>
      </c>
      <c r="F217" s="140">
        <f>F218+F211</f>
        <v>160</v>
      </c>
      <c r="G217" s="63">
        <f t="shared" si="720"/>
        <v>20</v>
      </c>
      <c r="H217" s="63">
        <f>H218+H211</f>
        <v>1</v>
      </c>
      <c r="I217" s="9">
        <f>DEGREES(ASIN((P217)/(E217+2)))</f>
        <v>42.886635200642822</v>
      </c>
      <c r="J217" s="9">
        <f t="shared" si="722"/>
        <v>111.11035954545257</v>
      </c>
      <c r="K217" s="9">
        <f t="shared" si="723"/>
        <v>68.223724344809739</v>
      </c>
      <c r="L217" s="59"/>
      <c r="M217" s="84">
        <f t="shared" si="724"/>
        <v>0.87510749203696037</v>
      </c>
      <c r="N217" s="84">
        <f t="shared" si="733"/>
        <v>-0.87510749203697458</v>
      </c>
      <c r="O217" s="84">
        <f t="shared" si="734"/>
        <v>0</v>
      </c>
      <c r="P217" s="62">
        <f>P$218-H217</f>
        <v>61.249497989943649</v>
      </c>
      <c r="Q217" s="62">
        <f t="shared" si="726"/>
        <v>-1</v>
      </c>
      <c r="R217" s="49">
        <f t="shared" si="727"/>
        <v>83.577556691270274</v>
      </c>
      <c r="S217" s="49">
        <f t="shared" si="728"/>
        <v>46.611498723100766</v>
      </c>
      <c r="T217" s="39">
        <f t="shared" si="729"/>
        <v>-1.8862994549455152</v>
      </c>
      <c r="U217" s="59"/>
      <c r="V217" s="59"/>
      <c r="W217" s="59"/>
      <c r="X217" s="59"/>
      <c r="Y217" s="59"/>
      <c r="Z217" s="59"/>
      <c r="AA217" s="59"/>
      <c r="AB217" s="59"/>
      <c r="AC217" s="59"/>
      <c r="AD217" s="59"/>
      <c r="AE217" s="59"/>
      <c r="AF217" s="59"/>
      <c r="AG217" s="128">
        <f t="shared" si="735"/>
        <v>1</v>
      </c>
      <c r="AH217" s="128">
        <f t="shared" si="736"/>
        <v>0.87510749203696037</v>
      </c>
      <c r="AI217" s="128">
        <f t="shared" si="737"/>
        <v>-0.87510749203697458</v>
      </c>
      <c r="AJ217" s="128">
        <f t="shared" si="730"/>
        <v>0</v>
      </c>
      <c r="AK217" s="128">
        <f t="shared" si="738"/>
        <v>-1.8862994549455152</v>
      </c>
    </row>
    <row r="218" spans="1:43" s="15" customFormat="1">
      <c r="B218" s="147">
        <v>183</v>
      </c>
      <c r="C218" s="18">
        <f>100*(0.297865*B218/100+1.08387)</f>
        <v>162.89629500000001</v>
      </c>
      <c r="D218" s="147">
        <v>30</v>
      </c>
      <c r="E218" s="147">
        <v>88</v>
      </c>
      <c r="F218" s="147">
        <v>160</v>
      </c>
      <c r="G218" s="40">
        <f>(E218+2)*2 -F218</f>
        <v>20</v>
      </c>
      <c r="H218" s="147">
        <v>0</v>
      </c>
      <c r="I218" s="44">
        <f t="shared" ref="I218" si="745">DEGREES(ACOS((F218-D218)/2/(E218+2)))</f>
        <v>43.761742692679796</v>
      </c>
      <c r="J218" s="44">
        <f t="shared" si="722"/>
        <v>111.11035954545257</v>
      </c>
      <c r="K218" s="44">
        <f>J218-I218</f>
        <v>67.348616852772778</v>
      </c>
      <c r="M218" s="84">
        <f>K218-K$218</f>
        <v>0</v>
      </c>
      <c r="N218" s="84">
        <f t="shared" si="733"/>
        <v>0</v>
      </c>
      <c r="O218" s="84">
        <f t="shared" si="734"/>
        <v>0</v>
      </c>
      <c r="P218" s="41">
        <f t="shared" ref="P218" si="746">((F218-D218)/2)*TAN(RADIANS(I218))</f>
        <v>62.249497989943649</v>
      </c>
      <c r="Q218" s="62">
        <f>P218-P$218</f>
        <v>0</v>
      </c>
      <c r="R218" s="39">
        <f t="shared" si="727"/>
        <v>83.057868711361749</v>
      </c>
      <c r="S218" s="39">
        <f t="shared" si="728"/>
        <v>45.338920312168661</v>
      </c>
      <c r="T218" s="39">
        <f>D218-D$218</f>
        <v>0</v>
      </c>
      <c r="AG218" s="148">
        <f t="shared" si="735"/>
        <v>0</v>
      </c>
      <c r="AH218" s="148">
        <f t="shared" si="736"/>
        <v>0</v>
      </c>
      <c r="AI218" s="148">
        <f t="shared" si="737"/>
        <v>0</v>
      </c>
      <c r="AJ218" s="148">
        <f t="shared" si="730"/>
        <v>0</v>
      </c>
      <c r="AK218" s="148">
        <f t="shared" si="738"/>
        <v>0</v>
      </c>
    </row>
    <row r="219" spans="1:43">
      <c r="A219" s="59"/>
      <c r="B219" s="140">
        <f t="shared" ref="B219" si="747">B218-B211</f>
        <v>183</v>
      </c>
      <c r="C219" s="18">
        <f>100*(0.297865*B223/100+1.08387)</f>
        <v>162.89629500000001</v>
      </c>
      <c r="D219" s="63">
        <f t="shared" ref="D219:D222" si="748">2*(F219/2-(E219+2)*(COS(RADIANS(I219))))</f>
        <v>31.945308496406682</v>
      </c>
      <c r="E219" s="140">
        <f t="shared" ref="E219" si="749">E218-E211</f>
        <v>88</v>
      </c>
      <c r="F219" s="140">
        <f>F218-F211</f>
        <v>160</v>
      </c>
      <c r="G219" s="63">
        <f t="shared" ref="G219:G223" si="750">(E219+2)*2 -F219</f>
        <v>20</v>
      </c>
      <c r="H219" s="63">
        <f>H218-H211</f>
        <v>-1</v>
      </c>
      <c r="I219" s="9">
        <f t="shared" ref="I219:I222" si="751">DEGREES(ASIN((P219)/(E219+2)))</f>
        <v>44.649843304592579</v>
      </c>
      <c r="J219" s="9">
        <f t="shared" si="722"/>
        <v>111.11035954545257</v>
      </c>
      <c r="K219" s="9">
        <f t="shared" ref="K219:K223" si="752">J219-I219</f>
        <v>66.460516240859988</v>
      </c>
      <c r="L219" s="59"/>
      <c r="M219" s="84">
        <f t="shared" ref="M219:M223" si="753">K219-K$218</f>
        <v>-0.88810061191279033</v>
      </c>
      <c r="N219" s="84">
        <f t="shared" si="733"/>
        <v>0.88810061191278322</v>
      </c>
      <c r="O219" s="84">
        <f t="shared" si="734"/>
        <v>0</v>
      </c>
      <c r="P219" s="62">
        <f t="shared" ref="P219:P222" si="754">P$218-H219</f>
        <v>63.249497989943649</v>
      </c>
      <c r="Q219" s="62">
        <f t="shared" ref="Q219:Q223" si="755">P219-P$218</f>
        <v>1</v>
      </c>
      <c r="R219" s="49">
        <f t="shared" si="727"/>
        <v>82.510656305454262</v>
      </c>
      <c r="S219" s="49">
        <f t="shared" si="728"/>
        <v>44.055715391133447</v>
      </c>
      <c r="T219" s="39">
        <f t="shared" ref="T219:T223" si="756">D219-D$218</f>
        <v>1.9453084964066818</v>
      </c>
      <c r="U219" s="59"/>
      <c r="V219" s="59"/>
      <c r="W219" s="59"/>
      <c r="X219" s="59"/>
      <c r="Y219" s="59"/>
      <c r="Z219" s="59"/>
      <c r="AA219" s="59"/>
      <c r="AB219" s="59"/>
      <c r="AC219" s="59"/>
      <c r="AD219" s="59"/>
      <c r="AE219" s="59"/>
      <c r="AF219" s="59"/>
      <c r="AG219" s="128">
        <f t="shared" si="735"/>
        <v>-1</v>
      </c>
      <c r="AH219" s="128">
        <f t="shared" si="736"/>
        <v>-0.88810061191279033</v>
      </c>
      <c r="AI219" s="128">
        <f t="shared" si="737"/>
        <v>0.88810061191278322</v>
      </c>
      <c r="AJ219" s="128">
        <f t="shared" si="730"/>
        <v>0</v>
      </c>
      <c r="AK219" s="128">
        <f t="shared" si="738"/>
        <v>1.9453084964066818</v>
      </c>
    </row>
    <row r="220" spans="1:43">
      <c r="A220" s="59"/>
      <c r="B220" s="140">
        <f t="shared" ref="B220" si="757">B218-2*B211</f>
        <v>183</v>
      </c>
      <c r="C220" s="18">
        <f t="shared" ref="C220:C223" si="758">100*(0.297865*B220/100+1.08387)</f>
        <v>162.89629500000001</v>
      </c>
      <c r="D220" s="63">
        <f t="shared" si="748"/>
        <v>33.952358085678938</v>
      </c>
      <c r="E220" s="140">
        <f t="shared" ref="E220" si="759">E218-2*E211</f>
        <v>88</v>
      </c>
      <c r="F220" s="140">
        <f>F218-2*F211</f>
        <v>160</v>
      </c>
      <c r="G220" s="63">
        <f t="shared" si="750"/>
        <v>20</v>
      </c>
      <c r="H220" s="63">
        <f>H218-2*H211</f>
        <v>-2</v>
      </c>
      <c r="I220" s="9">
        <f t="shared" si="751"/>
        <v>45.551757043436325</v>
      </c>
      <c r="J220" s="9">
        <f t="shared" si="722"/>
        <v>111.11035954545257</v>
      </c>
      <c r="K220" s="9">
        <f t="shared" si="752"/>
        <v>65.558602502016242</v>
      </c>
      <c r="L220" s="59"/>
      <c r="M220" s="84">
        <f t="shared" si="753"/>
        <v>-1.790014350756536</v>
      </c>
      <c r="N220" s="84">
        <f t="shared" si="733"/>
        <v>1.7900143507565289</v>
      </c>
      <c r="O220" s="84">
        <f t="shared" si="734"/>
        <v>0</v>
      </c>
      <c r="P220" s="62">
        <f t="shared" si="754"/>
        <v>64.249497989943649</v>
      </c>
      <c r="Q220" s="62">
        <f t="shared" si="755"/>
        <v>2</v>
      </c>
      <c r="R220" s="49">
        <f t="shared" si="727"/>
        <v>81.934645123976267</v>
      </c>
      <c r="S220" s="49">
        <f t="shared" si="728"/>
        <v>42.7613919646817</v>
      </c>
      <c r="T220" s="39">
        <f t="shared" si="756"/>
        <v>3.952358085678938</v>
      </c>
      <c r="U220" s="59"/>
      <c r="V220" s="59"/>
      <c r="W220" s="59"/>
      <c r="X220" s="59"/>
      <c r="Y220" s="59"/>
      <c r="Z220" s="59"/>
      <c r="AA220" s="59"/>
      <c r="AB220" s="59"/>
      <c r="AC220" s="59"/>
      <c r="AD220" s="59"/>
      <c r="AE220" s="59"/>
      <c r="AF220" s="59"/>
      <c r="AG220" s="128">
        <f t="shared" si="735"/>
        <v>-2</v>
      </c>
      <c r="AH220" s="128">
        <f t="shared" si="736"/>
        <v>-1.790014350756536</v>
      </c>
      <c r="AI220" s="128">
        <f t="shared" si="737"/>
        <v>1.7900143507565289</v>
      </c>
      <c r="AJ220" s="128">
        <f t="shared" si="730"/>
        <v>0</v>
      </c>
      <c r="AK220" s="128">
        <f t="shared" si="738"/>
        <v>3.952358085678938</v>
      </c>
    </row>
    <row r="221" spans="1:43">
      <c r="A221" s="59"/>
      <c r="B221" s="140">
        <f t="shared" ref="B221" si="760">B218-3*B211</f>
        <v>183</v>
      </c>
      <c r="C221" s="18">
        <f t="shared" si="758"/>
        <v>162.89629500000001</v>
      </c>
      <c r="D221" s="63">
        <f t="shared" si="748"/>
        <v>36.024147317950039</v>
      </c>
      <c r="E221" s="140">
        <f t="shared" ref="E221" si="761">E218-3*E211</f>
        <v>88</v>
      </c>
      <c r="F221" s="140">
        <f>F218-3*F211</f>
        <v>160</v>
      </c>
      <c r="G221" s="63">
        <f t="shared" si="750"/>
        <v>20</v>
      </c>
      <c r="H221" s="63">
        <f>H218-3*H211</f>
        <v>-3</v>
      </c>
      <c r="I221" s="9">
        <f t="shared" si="751"/>
        <v>46.468383820007702</v>
      </c>
      <c r="J221" s="9">
        <f t="shared" si="722"/>
        <v>111.11035954545257</v>
      </c>
      <c r="K221" s="9">
        <f t="shared" si="752"/>
        <v>64.641975725444865</v>
      </c>
      <c r="L221" s="59"/>
      <c r="M221" s="84">
        <f t="shared" si="753"/>
        <v>-2.706641127327913</v>
      </c>
      <c r="N221" s="84">
        <f t="shared" si="733"/>
        <v>2.7066411273279058</v>
      </c>
      <c r="O221" s="84">
        <f t="shared" si="734"/>
        <v>0</v>
      </c>
      <c r="P221" s="62">
        <f t="shared" si="754"/>
        <v>65.249497989943649</v>
      </c>
      <c r="Q221" s="62">
        <f t="shared" si="755"/>
        <v>3</v>
      </c>
      <c r="R221" s="49">
        <f t="shared" si="727"/>
        <v>81.328436510565879</v>
      </c>
      <c r="S221" s="49">
        <f t="shared" si="728"/>
        <v>41.455410045677567</v>
      </c>
      <c r="T221" s="39">
        <f t="shared" si="756"/>
        <v>6.0241473179500389</v>
      </c>
      <c r="U221" s="59"/>
      <c r="V221" s="59"/>
      <c r="W221" s="59"/>
      <c r="X221" s="59"/>
      <c r="Y221" s="59"/>
      <c r="Z221" s="59"/>
      <c r="AA221" s="59"/>
      <c r="AB221" s="59"/>
      <c r="AC221" s="59"/>
      <c r="AD221" s="59"/>
      <c r="AE221" s="59"/>
      <c r="AF221" s="59"/>
      <c r="AG221" s="128">
        <f t="shared" si="735"/>
        <v>-3</v>
      </c>
      <c r="AH221" s="128">
        <f t="shared" si="736"/>
        <v>-2.706641127327913</v>
      </c>
      <c r="AI221" s="128">
        <f t="shared" si="737"/>
        <v>2.7066411273279058</v>
      </c>
      <c r="AJ221" s="128">
        <f t="shared" si="730"/>
        <v>0</v>
      </c>
      <c r="AK221" s="128">
        <f t="shared" si="738"/>
        <v>6.0241473179500389</v>
      </c>
    </row>
    <row r="222" spans="1:43">
      <c r="A222" s="59"/>
      <c r="B222" s="140">
        <f t="shared" ref="B222" si="762">B218-4*B211</f>
        <v>183</v>
      </c>
      <c r="C222" s="18">
        <f t="shared" si="758"/>
        <v>162.89629500000001</v>
      </c>
      <c r="D222" s="63">
        <f t="shared" si="748"/>
        <v>38.163978789843071</v>
      </c>
      <c r="E222" s="140">
        <f t="shared" ref="E222" si="763">E218-4*E211</f>
        <v>88</v>
      </c>
      <c r="F222" s="140">
        <f>F218-4*F211</f>
        <v>160</v>
      </c>
      <c r="G222" s="63">
        <f t="shared" si="750"/>
        <v>20</v>
      </c>
      <c r="H222" s="63">
        <f>H218-4*H211</f>
        <v>-4</v>
      </c>
      <c r="I222" s="9">
        <f t="shared" si="751"/>
        <v>47.400714945270835</v>
      </c>
      <c r="J222" s="9">
        <f t="shared" si="722"/>
        <v>111.11035954545257</v>
      </c>
      <c r="K222" s="9">
        <f t="shared" si="752"/>
        <v>63.709644600181733</v>
      </c>
      <c r="L222" s="59"/>
      <c r="M222" s="84">
        <f t="shared" si="753"/>
        <v>-3.6389722525910457</v>
      </c>
      <c r="N222" s="84">
        <f t="shared" si="733"/>
        <v>3.6389722525910386</v>
      </c>
      <c r="O222" s="84">
        <f t="shared" si="734"/>
        <v>0</v>
      </c>
      <c r="P222" s="62">
        <f t="shared" si="754"/>
        <v>66.249497989943649</v>
      </c>
      <c r="Q222" s="62">
        <f t="shared" si="755"/>
        <v>4</v>
      </c>
      <c r="R222" s="49">
        <f t="shared" si="727"/>
        <v>80.690489988135113</v>
      </c>
      <c r="S222" s="49">
        <f t="shared" si="728"/>
        <v>40.137174893459097</v>
      </c>
      <c r="T222" s="39">
        <f t="shared" si="756"/>
        <v>8.1639787898430711</v>
      </c>
      <c r="U222" s="59"/>
      <c r="V222" s="59"/>
      <c r="W222" s="59"/>
      <c r="X222" s="59"/>
      <c r="Y222" s="59"/>
      <c r="Z222" s="59"/>
      <c r="AA222" s="59"/>
      <c r="AB222" s="59"/>
      <c r="AC222" s="59"/>
      <c r="AD222" s="59"/>
      <c r="AE222" s="59"/>
      <c r="AF222" s="59"/>
      <c r="AG222" s="128">
        <f t="shared" si="735"/>
        <v>-4</v>
      </c>
      <c r="AH222" s="128">
        <f t="shared" si="736"/>
        <v>-3.6389722525910457</v>
      </c>
      <c r="AI222" s="128">
        <f t="shared" si="737"/>
        <v>3.6389722525910386</v>
      </c>
      <c r="AJ222" s="128">
        <f t="shared" si="730"/>
        <v>0</v>
      </c>
      <c r="AK222" s="128">
        <f t="shared" si="738"/>
        <v>8.1639787898430711</v>
      </c>
    </row>
    <row r="223" spans="1:43">
      <c r="A223" s="59"/>
      <c r="B223" s="140">
        <f t="shared" ref="B223" si="764">B218-5*B211</f>
        <v>183</v>
      </c>
      <c r="C223" s="18">
        <f t="shared" si="758"/>
        <v>162.89629500000001</v>
      </c>
      <c r="D223" s="63">
        <f>2*(F223/2-(E223+2)*(COS(RADIANS(I223))))</f>
        <v>40.375503844729764</v>
      </c>
      <c r="E223" s="140">
        <f t="shared" ref="E223" si="765">E218-5*E211</f>
        <v>88</v>
      </c>
      <c r="F223" s="140">
        <f>F218-5*F211</f>
        <v>160</v>
      </c>
      <c r="G223" s="63">
        <f t="shared" si="750"/>
        <v>20</v>
      </c>
      <c r="H223" s="63">
        <f>H218-5*H211</f>
        <v>-5</v>
      </c>
      <c r="I223" s="9">
        <f>DEGREES(ASIN((P223)/(E223+2)))</f>
        <v>48.34984683477493</v>
      </c>
      <c r="J223" s="9">
        <f t="shared" si="722"/>
        <v>111.11035954545257</v>
      </c>
      <c r="K223" s="9">
        <f t="shared" si="752"/>
        <v>62.760512710677638</v>
      </c>
      <c r="L223" s="59"/>
      <c r="M223" s="84">
        <f t="shared" si="753"/>
        <v>-4.5881041420951405</v>
      </c>
      <c r="N223" s="84">
        <f t="shared" si="733"/>
        <v>4.5881041420951334</v>
      </c>
      <c r="O223" s="84">
        <f t="shared" si="734"/>
        <v>0</v>
      </c>
      <c r="P223" s="62">
        <f>P$218-H223</f>
        <v>67.249497989943649</v>
      </c>
      <c r="Q223" s="62">
        <f t="shared" si="755"/>
        <v>5</v>
      </c>
      <c r="R223" s="49">
        <f t="shared" si="727"/>
        <v>80.01910240869266</v>
      </c>
      <c r="S223" s="49">
        <f t="shared" si="728"/>
        <v>38.806028964092874</v>
      </c>
      <c r="T223" s="39">
        <f t="shared" si="756"/>
        <v>10.375503844729764</v>
      </c>
      <c r="U223" s="59"/>
      <c r="V223" s="59"/>
      <c r="W223" s="59"/>
      <c r="X223" s="59"/>
      <c r="Y223" s="59"/>
      <c r="Z223" s="59"/>
      <c r="AA223" s="59"/>
      <c r="AB223" s="59"/>
      <c r="AC223" s="59"/>
      <c r="AD223" s="59"/>
      <c r="AE223" s="59"/>
      <c r="AF223" s="59"/>
      <c r="AG223" s="128">
        <f t="shared" si="735"/>
        <v>-5</v>
      </c>
      <c r="AH223" s="128">
        <f t="shared" si="736"/>
        <v>-4.5881041420951405</v>
      </c>
      <c r="AI223" s="128">
        <f t="shared" si="737"/>
        <v>4.5881041420951334</v>
      </c>
      <c r="AJ223" s="128">
        <f t="shared" si="730"/>
        <v>0</v>
      </c>
      <c r="AK223" s="128">
        <f t="shared" si="738"/>
        <v>10.375503844729764</v>
      </c>
    </row>
    <row r="224" spans="1:43">
      <c r="A224" s="12"/>
      <c r="B224" s="5"/>
      <c r="C224" s="19" t="s">
        <v>24</v>
      </c>
      <c r="D224" s="13"/>
      <c r="E224" s="13"/>
      <c r="F224" s="13"/>
      <c r="G224" s="13"/>
      <c r="H224" s="13"/>
      <c r="I224" s="13"/>
      <c r="J224" s="13"/>
      <c r="K224" s="12"/>
      <c r="L224" s="12"/>
      <c r="M224" s="108"/>
      <c r="N224" s="108"/>
      <c r="O224" s="108"/>
      <c r="P224" s="13"/>
      <c r="Q224" s="45"/>
      <c r="R224" s="108"/>
      <c r="S224" s="108"/>
      <c r="T224" s="13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31"/>
      <c r="AH224" s="132"/>
      <c r="AI224" s="132"/>
      <c r="AJ224" s="132"/>
      <c r="AK224" s="131"/>
    </row>
    <row r="225" spans="1:45" ht="18.75">
      <c r="A225" s="15" t="s">
        <v>122</v>
      </c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  <c r="AA225" s="59"/>
      <c r="AB225" s="59"/>
      <c r="AC225" s="59"/>
      <c r="AD225" s="59"/>
      <c r="AE225" s="59"/>
      <c r="AF225" s="59"/>
      <c r="AG225" s="59"/>
      <c r="AH225" s="59"/>
      <c r="AI225" s="59"/>
      <c r="AJ225" s="59"/>
      <c r="AK225" s="59"/>
    </row>
    <row r="226" spans="1:45">
      <c r="A226" s="20"/>
      <c r="B226" s="20"/>
      <c r="C226" s="20"/>
      <c r="D226" s="20"/>
      <c r="E226" s="20"/>
      <c r="F226" s="20"/>
      <c r="G226" s="59"/>
      <c r="H226" s="59"/>
      <c r="I226" s="59"/>
      <c r="J226" s="59"/>
      <c r="K226" s="59"/>
      <c r="L226" s="59"/>
      <c r="M226" s="236" t="s">
        <v>14</v>
      </c>
      <c r="N226" s="237"/>
      <c r="O226" s="59"/>
      <c r="P226" s="59"/>
      <c r="Q226" s="59"/>
      <c r="R226" s="59"/>
      <c r="S226" s="59"/>
      <c r="T226" s="59"/>
      <c r="U226" s="59"/>
      <c r="V226" s="5"/>
      <c r="W226" s="59"/>
      <c r="X226" s="59"/>
      <c r="Y226" s="59"/>
      <c r="Z226" s="59"/>
      <c r="AA226" s="59"/>
      <c r="AB226" s="59"/>
      <c r="AC226" s="59"/>
      <c r="AD226" s="59"/>
      <c r="AE226" s="59"/>
      <c r="AF226" s="59"/>
      <c r="AG226" s="35"/>
      <c r="AH226" s="35"/>
      <c r="AI226" s="35"/>
      <c r="AJ226" s="35"/>
      <c r="AK226" s="35"/>
    </row>
    <row r="227" spans="1:45" ht="135">
      <c r="A227" s="27"/>
      <c r="B227" s="28" t="s">
        <v>12</v>
      </c>
      <c r="C227" s="28" t="s">
        <v>8</v>
      </c>
      <c r="D227" s="65" t="s">
        <v>42</v>
      </c>
      <c r="E227" s="28" t="s">
        <v>3</v>
      </c>
      <c r="F227" s="28" t="s">
        <v>4</v>
      </c>
      <c r="G227" s="28" t="s">
        <v>41</v>
      </c>
      <c r="H227" s="65" t="s">
        <v>1</v>
      </c>
      <c r="I227" s="65" t="s">
        <v>6</v>
      </c>
      <c r="J227" s="65" t="s">
        <v>5</v>
      </c>
      <c r="K227" s="66" t="s">
        <v>20</v>
      </c>
      <c r="L227" s="31" t="s">
        <v>49</v>
      </c>
      <c r="M227" s="31" t="s">
        <v>112</v>
      </c>
      <c r="N227" s="28" t="s">
        <v>18</v>
      </c>
      <c r="O227" s="28" t="s">
        <v>19</v>
      </c>
      <c r="P227" s="32" t="s">
        <v>25</v>
      </c>
      <c r="Q227" s="28" t="s">
        <v>27</v>
      </c>
      <c r="R227" s="67" t="s">
        <v>26</v>
      </c>
      <c r="S227" s="28" t="s">
        <v>28</v>
      </c>
      <c r="T227" s="28" t="s">
        <v>33</v>
      </c>
      <c r="U227" s="28" t="s">
        <v>34</v>
      </c>
      <c r="V227" s="28" t="s">
        <v>30</v>
      </c>
      <c r="W227" s="28" t="s">
        <v>43</v>
      </c>
      <c r="X227" s="65" t="s">
        <v>29</v>
      </c>
      <c r="Y227" s="28" t="s">
        <v>32</v>
      </c>
      <c r="Z227" s="66" t="s">
        <v>31</v>
      </c>
      <c r="AA227" s="66" t="s">
        <v>35</v>
      </c>
      <c r="AB227" s="28" t="s">
        <v>36</v>
      </c>
      <c r="AC227" s="66" t="s">
        <v>37</v>
      </c>
      <c r="AD227" s="66" t="s">
        <v>48</v>
      </c>
      <c r="AE227" s="68" t="s">
        <v>38</v>
      </c>
      <c r="AF227" s="35"/>
      <c r="AG227" s="133" t="str">
        <f>H212</f>
        <v>Stretcher movement to stern (cm)</v>
      </c>
      <c r="AH227" s="28" t="s">
        <v>113</v>
      </c>
      <c r="AI227" s="28" t="s">
        <v>114</v>
      </c>
      <c r="AJ227" s="28" t="s">
        <v>115</v>
      </c>
      <c r="AK227" s="28" t="str">
        <f>T212</f>
        <v>change in distance between handles (cm / cm)</v>
      </c>
      <c r="AS227" s="136" t="s">
        <v>170</v>
      </c>
    </row>
    <row r="228" spans="1:45">
      <c r="A228" s="5"/>
      <c r="B228" s="20">
        <f>B213</f>
        <v>183</v>
      </c>
      <c r="C228" s="18">
        <f t="shared" ref="C228:C232" si="766">100*(0.297865*B228/100+1.08387)</f>
        <v>162.89629500000001</v>
      </c>
      <c r="D228" s="63">
        <f>D213</f>
        <v>21.111627845964904</v>
      </c>
      <c r="E228" s="63">
        <f t="shared" ref="E228:G228" si="767">E213</f>
        <v>88</v>
      </c>
      <c r="F228" s="63">
        <f t="shared" si="767"/>
        <v>160</v>
      </c>
      <c r="G228" s="63">
        <f t="shared" si="767"/>
        <v>20</v>
      </c>
      <c r="H228" s="146">
        <f t="shared" ref="H228:H232" si="768">DEGREES(ACOS((F228-D228)/2/(E228+2)))</f>
        <v>39.50202810961899</v>
      </c>
      <c r="I228" s="20"/>
      <c r="J228" s="63"/>
      <c r="K228" s="69">
        <f t="shared" ref="K228:K232" si="769">H228-H$233</f>
        <v>-4.2597145830608056</v>
      </c>
      <c r="L228" s="63">
        <f>P213</f>
        <v>57.249497989943649</v>
      </c>
      <c r="M228" s="41">
        <f t="shared" ref="M228:M231" si="770">L228-L$233</f>
        <v>-5</v>
      </c>
      <c r="N228" s="61"/>
      <c r="O228" s="61"/>
      <c r="P228" s="23">
        <f t="shared" ref="P228:P231" si="771">P$233</f>
        <v>1</v>
      </c>
      <c r="Q228" s="20">
        <f t="shared" ref="Q228:Q238" si="772">B228 *P228</f>
        <v>183</v>
      </c>
      <c r="R228" s="23">
        <f t="shared" ref="R228:R231" si="773">R$233</f>
        <v>0.25</v>
      </c>
      <c r="S228" s="61">
        <f>Q228*R228</f>
        <v>45.75</v>
      </c>
      <c r="T228" s="61">
        <f>S228/2</f>
        <v>22.875</v>
      </c>
      <c r="U228" s="61">
        <f t="shared" ref="U228:U238" si="774">F228/2 -S228/2</f>
        <v>57.125</v>
      </c>
      <c r="V228" s="61"/>
      <c r="W228" s="61">
        <f t="shared" ref="W228:W232" si="775">COS(RADIANS(17))*((Q228-S228)/2 -8)</f>
        <v>57.975975830259024</v>
      </c>
      <c r="X228" s="61">
        <f t="shared" ref="X228:X231" si="776">X$233-M228</f>
        <v>34.610828964718017</v>
      </c>
      <c r="Y228" s="61">
        <f>SQRT(X228*X228+U228*U228)</f>
        <v>66.792028765601685</v>
      </c>
      <c r="Z228" s="69">
        <f>DEGREES(ASIN(X228/Y228))</f>
        <v>31.210785588364914</v>
      </c>
      <c r="AA228" s="69">
        <f t="shared" ref="AA228:AA238" si="777">DEGREES(ACOS(((E228+2)*(E228+2)+(Y228*Y228)-(W228*W228))/(2*(E228+2)*(Y228))))</f>
        <v>40.073032030068283</v>
      </c>
      <c r="AB228" s="4">
        <f t="shared" ref="AB228:AB238" si="778">Z228+AA228</f>
        <v>71.283817618433204</v>
      </c>
      <c r="AC228" s="121">
        <f t="shared" ref="AC228:AC232" si="779">AB228-AB$233</f>
        <v>3.9352007656604115</v>
      </c>
      <c r="AD228" s="121">
        <f>AB228+H228</f>
        <v>110.78584572805219</v>
      </c>
      <c r="AE228" s="149">
        <f t="shared" ref="AE228:AE232" si="780">H228+AB228-I$233</f>
        <v>-0.32451381740037277</v>
      </c>
      <c r="AF228" s="59"/>
      <c r="AG228" s="128">
        <f>H213</f>
        <v>5</v>
      </c>
      <c r="AH228" s="128">
        <f t="shared" ref="AH228:AH238" si="781">AC228</f>
        <v>3.9352007656604115</v>
      </c>
      <c r="AI228" s="128">
        <f>K228</f>
        <v>-4.2597145830608056</v>
      </c>
      <c r="AJ228" s="128">
        <f t="shared" ref="AJ228:AJ238" si="782">AE228</f>
        <v>-0.32451381740037277</v>
      </c>
      <c r="AK228" s="128">
        <f>T213</f>
        <v>-8.8883721540350962</v>
      </c>
      <c r="AS228" s="61">
        <f t="shared" ref="AS228:AS237" si="783">L228+X228</f>
        <v>91.860326954661673</v>
      </c>
    </row>
    <row r="229" spans="1:45">
      <c r="A229" s="59"/>
      <c r="B229" s="20">
        <f t="shared" ref="B229:B238" si="784">B214</f>
        <v>183</v>
      </c>
      <c r="C229" s="18">
        <f t="shared" si="766"/>
        <v>162.89629500000001</v>
      </c>
      <c r="D229" s="63">
        <f t="shared" ref="D229:G229" si="785">D214</f>
        <v>22.78489902464014</v>
      </c>
      <c r="E229" s="63">
        <f t="shared" si="785"/>
        <v>88</v>
      </c>
      <c r="F229" s="63">
        <f t="shared" si="785"/>
        <v>160</v>
      </c>
      <c r="G229" s="63">
        <f t="shared" si="785"/>
        <v>20</v>
      </c>
      <c r="H229" s="146">
        <f t="shared" si="768"/>
        <v>40.332076015646237</v>
      </c>
      <c r="I229" s="20"/>
      <c r="J229" s="63"/>
      <c r="K229" s="69">
        <f t="shared" si="769"/>
        <v>-3.4296666770335591</v>
      </c>
      <c r="L229" s="63">
        <f t="shared" ref="L229:L238" si="786">P214</f>
        <v>58.249497989943649</v>
      </c>
      <c r="M229" s="41">
        <f t="shared" si="770"/>
        <v>-4</v>
      </c>
      <c r="N229" s="61"/>
      <c r="O229" s="61"/>
      <c r="P229" s="23">
        <f t="shared" si="771"/>
        <v>1</v>
      </c>
      <c r="Q229" s="20">
        <f t="shared" si="772"/>
        <v>183</v>
      </c>
      <c r="R229" s="23">
        <f t="shared" si="773"/>
        <v>0.25</v>
      </c>
      <c r="S229" s="61">
        <f>Q229*R229</f>
        <v>45.75</v>
      </c>
      <c r="T229" s="61">
        <f>S229/2</f>
        <v>22.875</v>
      </c>
      <c r="U229" s="61">
        <f t="shared" si="774"/>
        <v>57.125</v>
      </c>
      <c r="V229" s="61"/>
      <c r="W229" s="61">
        <f t="shared" si="775"/>
        <v>57.975975830259024</v>
      </c>
      <c r="X229" s="61">
        <f t="shared" si="776"/>
        <v>33.610828964718017</v>
      </c>
      <c r="Y229" s="61">
        <f>SQRT(X229*X229+U229*U229)</f>
        <v>66.279359145178276</v>
      </c>
      <c r="Z229" s="69">
        <f>DEGREES(ASIN(X229/Y229))</f>
        <v>30.471422163124423</v>
      </c>
      <c r="AA229" s="69">
        <f t="shared" si="777"/>
        <v>40.055171706758813</v>
      </c>
      <c r="AB229" s="4">
        <f t="shared" si="778"/>
        <v>70.526593869883243</v>
      </c>
      <c r="AC229" s="121">
        <f t="shared" si="779"/>
        <v>3.1779770171104502</v>
      </c>
      <c r="AD229" s="121">
        <f t="shared" ref="AD229:AD238" si="787">AB229+H229</f>
        <v>110.85866988552948</v>
      </c>
      <c r="AE229" s="149">
        <f t="shared" si="780"/>
        <v>-0.25168965992308756</v>
      </c>
      <c r="AF229" s="59"/>
      <c r="AG229" s="128">
        <f t="shared" ref="AG229:AG238" si="788">H214</f>
        <v>4</v>
      </c>
      <c r="AH229" s="128">
        <f t="shared" si="781"/>
        <v>3.1779770171104502</v>
      </c>
      <c r="AI229" s="128">
        <f t="shared" ref="AI229:AI238" si="789">K229</f>
        <v>-3.4296666770335591</v>
      </c>
      <c r="AJ229" s="128">
        <f t="shared" si="782"/>
        <v>-0.25168965992308756</v>
      </c>
      <c r="AK229" s="128">
        <f t="shared" ref="AK229:AK238" si="790">T214</f>
        <v>-7.2151009753598601</v>
      </c>
      <c r="AS229" s="61">
        <f t="shared" si="783"/>
        <v>91.860326954661673</v>
      </c>
    </row>
    <row r="230" spans="1:45">
      <c r="A230" s="59"/>
      <c r="B230" s="20">
        <f t="shared" si="784"/>
        <v>183</v>
      </c>
      <c r="C230" s="18">
        <f t="shared" si="766"/>
        <v>162.89629500000001</v>
      </c>
      <c r="D230" s="63">
        <f t="shared" ref="D230:G230" si="791">D215</f>
        <v>24.508347298593151</v>
      </c>
      <c r="E230" s="63">
        <f t="shared" si="791"/>
        <v>88</v>
      </c>
      <c r="F230" s="63">
        <f t="shared" si="791"/>
        <v>160</v>
      </c>
      <c r="G230" s="63">
        <f t="shared" si="791"/>
        <v>20</v>
      </c>
      <c r="H230" s="146">
        <f t="shared" si="768"/>
        <v>41.172462277288695</v>
      </c>
      <c r="I230" s="20"/>
      <c r="J230" s="63"/>
      <c r="K230" s="69">
        <f t="shared" si="769"/>
        <v>-2.5892804153911015</v>
      </c>
      <c r="L230" s="63">
        <f t="shared" si="786"/>
        <v>59.249497989943649</v>
      </c>
      <c r="M230" s="41">
        <f t="shared" si="770"/>
        <v>-3</v>
      </c>
      <c r="N230" s="61"/>
      <c r="O230" s="61"/>
      <c r="P230" s="23">
        <f t="shared" si="771"/>
        <v>1</v>
      </c>
      <c r="Q230" s="20">
        <f t="shared" si="772"/>
        <v>183</v>
      </c>
      <c r="R230" s="23">
        <f t="shared" si="773"/>
        <v>0.25</v>
      </c>
      <c r="S230" s="61">
        <f t="shared" ref="S230:S232" si="792">Q230*R230</f>
        <v>45.75</v>
      </c>
      <c r="T230" s="61">
        <f t="shared" ref="T230:T232" si="793">S230/2</f>
        <v>22.875</v>
      </c>
      <c r="U230" s="61">
        <f t="shared" si="774"/>
        <v>57.125</v>
      </c>
      <c r="V230" s="61"/>
      <c r="W230" s="61">
        <f t="shared" si="775"/>
        <v>57.975975830259024</v>
      </c>
      <c r="X230" s="61">
        <f t="shared" si="776"/>
        <v>32.610828964718017</v>
      </c>
      <c r="Y230" s="61">
        <f>SQRT(X230*X230+U230*U230)</f>
        <v>65.77789743345474</v>
      </c>
      <c r="Z230" s="69">
        <f>DEGREES(ASIN(X230/Y230))</f>
        <v>29.720658948061111</v>
      </c>
      <c r="AA230" s="69">
        <f t="shared" si="777"/>
        <v>40.033600216779639</v>
      </c>
      <c r="AB230" s="4">
        <f t="shared" si="778"/>
        <v>69.754259164840747</v>
      </c>
      <c r="AC230" s="121">
        <f t="shared" si="779"/>
        <v>2.405642312067954</v>
      </c>
      <c r="AD230" s="121">
        <f t="shared" si="787"/>
        <v>110.92672144212943</v>
      </c>
      <c r="AE230" s="149">
        <f t="shared" si="780"/>
        <v>-0.18363810332313335</v>
      </c>
      <c r="AF230" s="59"/>
      <c r="AG230" s="128">
        <f t="shared" si="788"/>
        <v>3</v>
      </c>
      <c r="AH230" s="128">
        <f t="shared" si="781"/>
        <v>2.405642312067954</v>
      </c>
      <c r="AI230" s="128">
        <f t="shared" si="789"/>
        <v>-2.5892804153911015</v>
      </c>
      <c r="AJ230" s="128">
        <f t="shared" si="782"/>
        <v>-0.18363810332313335</v>
      </c>
      <c r="AK230" s="128">
        <f t="shared" si="790"/>
        <v>-5.4916527014068492</v>
      </c>
      <c r="AS230" s="61">
        <f t="shared" si="783"/>
        <v>91.860326954661673</v>
      </c>
    </row>
    <row r="231" spans="1:45">
      <c r="A231" s="59"/>
      <c r="B231" s="20">
        <f t="shared" si="784"/>
        <v>183</v>
      </c>
      <c r="C231" s="18">
        <f t="shared" si="766"/>
        <v>162.89629500000001</v>
      </c>
      <c r="D231" s="63">
        <f t="shared" ref="D231:G231" si="794">D216</f>
        <v>26.283912830807424</v>
      </c>
      <c r="E231" s="63">
        <f t="shared" si="794"/>
        <v>88</v>
      </c>
      <c r="F231" s="63">
        <f t="shared" si="794"/>
        <v>160</v>
      </c>
      <c r="G231" s="63">
        <f t="shared" si="794"/>
        <v>20</v>
      </c>
      <c r="H231" s="146">
        <f t="shared" si="768"/>
        <v>42.023771016995411</v>
      </c>
      <c r="I231" s="20"/>
      <c r="J231" s="63"/>
      <c r="K231" s="69">
        <f t="shared" si="769"/>
        <v>-1.7379716756843848</v>
      </c>
      <c r="L231" s="63">
        <f t="shared" si="786"/>
        <v>60.249497989943649</v>
      </c>
      <c r="M231" s="41">
        <f t="shared" si="770"/>
        <v>-2</v>
      </c>
      <c r="N231" s="61"/>
      <c r="O231" s="61"/>
      <c r="P231" s="23">
        <f t="shared" si="771"/>
        <v>1</v>
      </c>
      <c r="Q231" s="20">
        <f t="shared" si="772"/>
        <v>183</v>
      </c>
      <c r="R231" s="23">
        <f t="shared" si="773"/>
        <v>0.25</v>
      </c>
      <c r="S231" s="61">
        <f t="shared" si="792"/>
        <v>45.75</v>
      </c>
      <c r="T231" s="61">
        <f t="shared" si="793"/>
        <v>22.875</v>
      </c>
      <c r="U231" s="61">
        <f t="shared" si="774"/>
        <v>57.125</v>
      </c>
      <c r="V231" s="61"/>
      <c r="W231" s="61">
        <f t="shared" si="775"/>
        <v>57.975975830259024</v>
      </c>
      <c r="X231" s="61">
        <f t="shared" si="776"/>
        <v>31.610828964718017</v>
      </c>
      <c r="Y231" s="61">
        <f t="shared" ref="Y231:Y232" si="795">SQRT(X231*X231+U231*U231)</f>
        <v>65.287901887230646</v>
      </c>
      <c r="Z231" s="69">
        <f t="shared" ref="Z231:Z232" si="796">DEGREES(ASIN(X231/Y231))</f>
        <v>28.958494030750817</v>
      </c>
      <c r="AA231" s="69">
        <f t="shared" si="777"/>
        <v>40.008508296204866</v>
      </c>
      <c r="AB231" s="4">
        <f t="shared" si="778"/>
        <v>68.967002326955679</v>
      </c>
      <c r="AC231" s="121">
        <f t="shared" si="779"/>
        <v>1.6183854741828867</v>
      </c>
      <c r="AD231" s="121">
        <f t="shared" si="787"/>
        <v>110.99077334395109</v>
      </c>
      <c r="AE231" s="149">
        <f t="shared" si="780"/>
        <v>-0.11958620150147681</v>
      </c>
      <c r="AF231" s="59"/>
      <c r="AG231" s="128">
        <f t="shared" si="788"/>
        <v>2</v>
      </c>
      <c r="AH231" s="128">
        <f t="shared" si="781"/>
        <v>1.6183854741828867</v>
      </c>
      <c r="AI231" s="128">
        <f t="shared" si="789"/>
        <v>-1.7379716756843848</v>
      </c>
      <c r="AJ231" s="128">
        <f t="shared" si="782"/>
        <v>-0.11958620150147681</v>
      </c>
      <c r="AK231" s="128">
        <f t="shared" si="790"/>
        <v>-3.7160871691925763</v>
      </c>
      <c r="AS231" s="61">
        <f t="shared" si="783"/>
        <v>91.860326954661673</v>
      </c>
    </row>
    <row r="232" spans="1:45">
      <c r="A232" s="59"/>
      <c r="B232" s="20">
        <f t="shared" si="784"/>
        <v>183</v>
      </c>
      <c r="C232" s="18">
        <f t="shared" si="766"/>
        <v>162.89629500000001</v>
      </c>
      <c r="D232" s="63">
        <f t="shared" ref="D232:G232" si="797">D217</f>
        <v>28.113700545054485</v>
      </c>
      <c r="E232" s="63">
        <f t="shared" si="797"/>
        <v>88</v>
      </c>
      <c r="F232" s="63">
        <f t="shared" si="797"/>
        <v>160</v>
      </c>
      <c r="G232" s="63">
        <f t="shared" si="797"/>
        <v>20</v>
      </c>
      <c r="H232" s="146">
        <f t="shared" si="768"/>
        <v>42.886635200642814</v>
      </c>
      <c r="I232" s="20"/>
      <c r="J232" s="63"/>
      <c r="K232" s="69">
        <f t="shared" si="769"/>
        <v>-0.87510749203698168</v>
      </c>
      <c r="L232" s="63">
        <f t="shared" si="786"/>
        <v>61.249497989943649</v>
      </c>
      <c r="M232" s="41">
        <f>L232-L$233</f>
        <v>-1</v>
      </c>
      <c r="N232" s="61"/>
      <c r="O232" s="61"/>
      <c r="P232" s="23">
        <f>P$233</f>
        <v>1</v>
      </c>
      <c r="Q232" s="20">
        <f t="shared" si="772"/>
        <v>183</v>
      </c>
      <c r="R232" s="23">
        <f>R$233</f>
        <v>0.25</v>
      </c>
      <c r="S232" s="61">
        <f t="shared" si="792"/>
        <v>45.75</v>
      </c>
      <c r="T232" s="61">
        <f t="shared" si="793"/>
        <v>22.875</v>
      </c>
      <c r="U232" s="61">
        <f t="shared" si="774"/>
        <v>57.125</v>
      </c>
      <c r="V232" s="61"/>
      <c r="W232" s="61">
        <f t="shared" si="775"/>
        <v>57.975975830259024</v>
      </c>
      <c r="X232" s="61">
        <f>X$233-M232</f>
        <v>30.610828964718017</v>
      </c>
      <c r="Y232" s="61">
        <f t="shared" si="795"/>
        <v>64.809632578091509</v>
      </c>
      <c r="Z232" s="69">
        <f t="shared" si="796"/>
        <v>28.184941577572072</v>
      </c>
      <c r="AA232" s="69">
        <f t="shared" si="777"/>
        <v>39.980098279099515</v>
      </c>
      <c r="AB232" s="4">
        <f t="shared" si="778"/>
        <v>68.165039856671584</v>
      </c>
      <c r="AC232" s="121">
        <f t="shared" si="779"/>
        <v>0.81642300389879097</v>
      </c>
      <c r="AD232" s="121">
        <f t="shared" si="787"/>
        <v>111.0516750573144</v>
      </c>
      <c r="AE232" s="149">
        <f t="shared" si="780"/>
        <v>-5.8684488138169399E-2</v>
      </c>
      <c r="AF232" s="59"/>
      <c r="AG232" s="128">
        <f t="shared" si="788"/>
        <v>1</v>
      </c>
      <c r="AH232" s="128">
        <f t="shared" si="781"/>
        <v>0.81642300389879097</v>
      </c>
      <c r="AI232" s="128">
        <f t="shared" si="789"/>
        <v>-0.87510749203698168</v>
      </c>
      <c r="AJ232" s="128">
        <f t="shared" si="782"/>
        <v>-5.8684488138169399E-2</v>
      </c>
      <c r="AK232" s="128">
        <f t="shared" si="790"/>
        <v>-1.8862994549455152</v>
      </c>
      <c r="AS232" s="61">
        <f t="shared" si="783"/>
        <v>91.860326954661673</v>
      </c>
    </row>
    <row r="233" spans="1:45" s="15" customFormat="1">
      <c r="B233" s="38">
        <f t="shared" si="784"/>
        <v>183</v>
      </c>
      <c r="C233" s="37">
        <f>100*(0.297865*B233/100+1.08387)</f>
        <v>162.89629500000001</v>
      </c>
      <c r="D233" s="40">
        <f t="shared" ref="D233:G233" si="798">D218</f>
        <v>30</v>
      </c>
      <c r="E233" s="40">
        <f t="shared" si="798"/>
        <v>88</v>
      </c>
      <c r="F233" s="40">
        <f t="shared" si="798"/>
        <v>160</v>
      </c>
      <c r="G233" s="40">
        <f t="shared" si="798"/>
        <v>20</v>
      </c>
      <c r="H233" s="40">
        <f>DEGREES(ACOS((F233-D233)/2/(E233+2)))</f>
        <v>43.761742692679796</v>
      </c>
      <c r="I233" s="120">
        <f>DEGREES(C233/(E233-6+2))</f>
        <v>111.11035954545257</v>
      </c>
      <c r="J233" s="40">
        <f>I233-H233</f>
        <v>67.348616852772778</v>
      </c>
      <c r="K233" s="70">
        <f>H233-H$233</f>
        <v>0</v>
      </c>
      <c r="L233" s="40">
        <f t="shared" si="786"/>
        <v>62.249497989943649</v>
      </c>
      <c r="M233" s="41">
        <f>L233-L$173</f>
        <v>0</v>
      </c>
      <c r="N233" s="39">
        <f>(E233+2)*SIN(RADIANS(J233))</f>
        <v>83.057868711361749</v>
      </c>
      <c r="O233" s="39">
        <f>(F233/2)- (E233+2)*COS(RADIANS(J233))</f>
        <v>45.338920312168661</v>
      </c>
      <c r="P233" s="42">
        <v>1</v>
      </c>
      <c r="Q233" s="43">
        <f t="shared" si="772"/>
        <v>183</v>
      </c>
      <c r="R233" s="42">
        <v>0.25</v>
      </c>
      <c r="S233" s="39">
        <f>Q233*R233</f>
        <v>45.75</v>
      </c>
      <c r="T233" s="39">
        <f>S233/2</f>
        <v>22.875</v>
      </c>
      <c r="U233" s="39">
        <f t="shared" si="774"/>
        <v>57.125</v>
      </c>
      <c r="V233" s="39">
        <f>O233-T233</f>
        <v>22.463920312168661</v>
      </c>
      <c r="W233" s="39">
        <f>COS(RADIANS(17))*((Q233-S233)/2-8)</f>
        <v>57.975975830259024</v>
      </c>
      <c r="X233" s="40">
        <f xml:space="preserve"> N233- SQRT(W233*W233-V233*V233)</f>
        <v>29.610828964718017</v>
      </c>
      <c r="Y233" s="39">
        <f>SQRT(X233*X233+U233*U233)</f>
        <v>64.343350992762126</v>
      </c>
      <c r="Z233" s="70">
        <f>DEGREES(ASIN(X233/Y233))</f>
        <v>27.400032783288204</v>
      </c>
      <c r="AA233" s="70">
        <f t="shared" si="777"/>
        <v>39.948584069484589</v>
      </c>
      <c r="AB233" s="52">
        <f t="shared" si="778"/>
        <v>67.348616852772793</v>
      </c>
      <c r="AC233" s="70">
        <f>AB233-AB$233</f>
        <v>0</v>
      </c>
      <c r="AD233" s="70">
        <f t="shared" si="787"/>
        <v>111.11035954545258</v>
      </c>
      <c r="AE233" s="71">
        <f>H233+AB233-I$233</f>
        <v>0</v>
      </c>
      <c r="AG233" s="148">
        <f t="shared" si="788"/>
        <v>0</v>
      </c>
      <c r="AH233" s="148">
        <f t="shared" si="781"/>
        <v>0</v>
      </c>
      <c r="AI233" s="148">
        <f t="shared" si="789"/>
        <v>0</v>
      </c>
      <c r="AJ233" s="148">
        <f t="shared" si="782"/>
        <v>0</v>
      </c>
      <c r="AK233" s="148">
        <f t="shared" si="790"/>
        <v>0</v>
      </c>
      <c r="AS233" s="61">
        <f t="shared" si="783"/>
        <v>91.860326954661673</v>
      </c>
    </row>
    <row r="234" spans="1:45">
      <c r="A234" s="5"/>
      <c r="B234" s="20">
        <f t="shared" si="784"/>
        <v>183</v>
      </c>
      <c r="C234" s="18">
        <f t="shared" ref="C234:C238" si="799">100*(0.297865*B234/100+1.08387)</f>
        <v>162.89629500000001</v>
      </c>
      <c r="D234" s="63">
        <f t="shared" ref="D234:G234" si="800">D219</f>
        <v>31.945308496406682</v>
      </c>
      <c r="E234" s="63">
        <f t="shared" si="800"/>
        <v>88</v>
      </c>
      <c r="F234" s="63">
        <f t="shared" si="800"/>
        <v>160</v>
      </c>
      <c r="G234" s="63">
        <f t="shared" si="800"/>
        <v>20</v>
      </c>
      <c r="H234" s="146">
        <f t="shared" ref="H234:H238" si="801">DEGREES(ACOS((F234-D234)/2/(E234+2)))</f>
        <v>44.649843304592572</v>
      </c>
      <c r="I234" s="20"/>
      <c r="J234" s="63"/>
      <c r="K234" s="69">
        <f t="shared" ref="K234:K238" si="802">H234-H$233</f>
        <v>0.88810061191277612</v>
      </c>
      <c r="L234" s="63">
        <f t="shared" si="786"/>
        <v>63.249497989943649</v>
      </c>
      <c r="M234" s="41">
        <f t="shared" ref="M234:M237" si="803">L234-L$233</f>
        <v>1</v>
      </c>
      <c r="N234" s="61"/>
      <c r="O234" s="61"/>
      <c r="P234" s="23">
        <f t="shared" ref="P234:P237" si="804">P$233</f>
        <v>1</v>
      </c>
      <c r="Q234" s="20">
        <f t="shared" si="772"/>
        <v>183</v>
      </c>
      <c r="R234" s="23">
        <f t="shared" ref="R234:R237" si="805">R$233</f>
        <v>0.25</v>
      </c>
      <c r="S234" s="61">
        <f>Q234*R234</f>
        <v>45.75</v>
      </c>
      <c r="T234" s="61">
        <f>S234/2</f>
        <v>22.875</v>
      </c>
      <c r="U234" s="61">
        <f t="shared" si="774"/>
        <v>57.125</v>
      </c>
      <c r="V234" s="61"/>
      <c r="W234" s="61">
        <f t="shared" ref="W234:W238" si="806">COS(RADIANS(17))*((Q234-S234)/2 -8)</f>
        <v>57.975975830259024</v>
      </c>
      <c r="X234" s="61">
        <f t="shared" ref="X234:X237" si="807">X$233-M234</f>
        <v>28.610828964718017</v>
      </c>
      <c r="Y234" s="61">
        <f>SQRT(X234*X234+U234*U234)</f>
        <v>63.889319600762278</v>
      </c>
      <c r="Z234" s="69">
        <f>DEGREES(ASIN(X234/Y234))</f>
        <v>26.603816810794605</v>
      </c>
      <c r="AA234" s="69">
        <f t="shared" si="777"/>
        <v>39.914191022255913</v>
      </c>
      <c r="AB234" s="4">
        <f t="shared" si="778"/>
        <v>66.518007833050518</v>
      </c>
      <c r="AC234" s="121">
        <f t="shared" ref="AC234:AC238" si="808">AB234-AB$233</f>
        <v>-0.83060901972227441</v>
      </c>
      <c r="AD234" s="121">
        <f t="shared" si="787"/>
        <v>111.16785113764308</v>
      </c>
      <c r="AE234" s="149">
        <f t="shared" ref="AE234:AE238" si="809">H234+AB234-I$233</f>
        <v>5.7491592190515917E-2</v>
      </c>
      <c r="AF234" s="59"/>
      <c r="AG234" s="128">
        <f t="shared" si="788"/>
        <v>-1</v>
      </c>
      <c r="AH234" s="128">
        <f t="shared" si="781"/>
        <v>-0.83060901972227441</v>
      </c>
      <c r="AI234" s="128">
        <f t="shared" si="789"/>
        <v>0.88810061191277612</v>
      </c>
      <c r="AJ234" s="128">
        <f t="shared" si="782"/>
        <v>5.7491592190515917E-2</v>
      </c>
      <c r="AK234" s="128">
        <f t="shared" si="790"/>
        <v>1.9453084964066818</v>
      </c>
      <c r="AS234" s="61">
        <f t="shared" si="783"/>
        <v>91.860326954661673</v>
      </c>
    </row>
    <row r="235" spans="1:45">
      <c r="A235" s="59"/>
      <c r="B235" s="20">
        <f t="shared" si="784"/>
        <v>183</v>
      </c>
      <c r="C235" s="18">
        <f t="shared" si="799"/>
        <v>162.89629500000001</v>
      </c>
      <c r="D235" s="63">
        <f t="shared" ref="D235:G235" si="810">D220</f>
        <v>33.952358085678938</v>
      </c>
      <c r="E235" s="63">
        <f t="shared" si="810"/>
        <v>88</v>
      </c>
      <c r="F235" s="63">
        <f t="shared" si="810"/>
        <v>160</v>
      </c>
      <c r="G235" s="63">
        <f t="shared" si="810"/>
        <v>20</v>
      </c>
      <c r="H235" s="146">
        <f t="shared" si="801"/>
        <v>45.551757043436325</v>
      </c>
      <c r="I235" s="20"/>
      <c r="J235" s="63"/>
      <c r="K235" s="69">
        <f t="shared" si="802"/>
        <v>1.7900143507565289</v>
      </c>
      <c r="L235" s="63">
        <f t="shared" si="786"/>
        <v>64.249497989943649</v>
      </c>
      <c r="M235" s="41">
        <f t="shared" si="803"/>
        <v>2</v>
      </c>
      <c r="N235" s="61"/>
      <c r="O235" s="61"/>
      <c r="P235" s="23">
        <f t="shared" si="804"/>
        <v>1</v>
      </c>
      <c r="Q235" s="20">
        <f t="shared" si="772"/>
        <v>183</v>
      </c>
      <c r="R235" s="23">
        <f t="shared" si="805"/>
        <v>0.25</v>
      </c>
      <c r="S235" s="61">
        <f>Q235*R235</f>
        <v>45.75</v>
      </c>
      <c r="T235" s="61">
        <f>S235/2</f>
        <v>22.875</v>
      </c>
      <c r="U235" s="61">
        <f t="shared" si="774"/>
        <v>57.125</v>
      </c>
      <c r="V235" s="61"/>
      <c r="W235" s="61">
        <f t="shared" si="806"/>
        <v>57.975975830259024</v>
      </c>
      <c r="X235" s="61">
        <f t="shared" si="807"/>
        <v>27.610828964718017</v>
      </c>
      <c r="Y235" s="61">
        <f>SQRT(X235*X235+U235*U235)</f>
        <v>63.447801389164866</v>
      </c>
      <c r="Z235" s="69">
        <f>DEGREES(ASIN(X235/Y235))</f>
        <v>25.796361713171763</v>
      </c>
      <c r="AA235" s="69">
        <f t="shared" si="777"/>
        <v>39.877155724388992</v>
      </c>
      <c r="AB235" s="4">
        <f t="shared" si="778"/>
        <v>65.673517437560747</v>
      </c>
      <c r="AC235" s="121">
        <f t="shared" si="808"/>
        <v>-1.6750994152120455</v>
      </c>
      <c r="AD235" s="121">
        <f t="shared" si="787"/>
        <v>111.22527448099707</v>
      </c>
      <c r="AE235" s="149">
        <f t="shared" si="809"/>
        <v>0.11491493554450471</v>
      </c>
      <c r="AF235" s="59"/>
      <c r="AG235" s="128">
        <f t="shared" si="788"/>
        <v>-2</v>
      </c>
      <c r="AH235" s="128">
        <f t="shared" si="781"/>
        <v>-1.6750994152120455</v>
      </c>
      <c r="AI235" s="128">
        <f t="shared" si="789"/>
        <v>1.7900143507565289</v>
      </c>
      <c r="AJ235" s="128">
        <f t="shared" si="782"/>
        <v>0.11491493554450471</v>
      </c>
      <c r="AK235" s="128">
        <f t="shared" si="790"/>
        <v>3.952358085678938</v>
      </c>
      <c r="AS235" s="61">
        <f t="shared" si="783"/>
        <v>91.860326954661673</v>
      </c>
    </row>
    <row r="236" spans="1:45">
      <c r="A236" s="59"/>
      <c r="B236" s="20">
        <f t="shared" si="784"/>
        <v>183</v>
      </c>
      <c r="C236" s="18">
        <f t="shared" si="799"/>
        <v>162.89629500000001</v>
      </c>
      <c r="D236" s="63">
        <f t="shared" ref="D236:G236" si="811">D221</f>
        <v>36.024147317950039</v>
      </c>
      <c r="E236" s="63">
        <f t="shared" si="811"/>
        <v>88</v>
      </c>
      <c r="F236" s="63">
        <f t="shared" si="811"/>
        <v>160</v>
      </c>
      <c r="G236" s="63">
        <f t="shared" si="811"/>
        <v>20</v>
      </c>
      <c r="H236" s="146">
        <f t="shared" si="801"/>
        <v>46.468383820007695</v>
      </c>
      <c r="I236" s="20"/>
      <c r="J236" s="63"/>
      <c r="K236" s="69">
        <f t="shared" si="802"/>
        <v>2.7066411273278987</v>
      </c>
      <c r="L236" s="63">
        <f t="shared" si="786"/>
        <v>65.249497989943649</v>
      </c>
      <c r="M236" s="41">
        <f t="shared" si="803"/>
        <v>3</v>
      </c>
      <c r="N236" s="61"/>
      <c r="O236" s="61"/>
      <c r="P236" s="23">
        <f t="shared" si="804"/>
        <v>1</v>
      </c>
      <c r="Q236" s="20">
        <f t="shared" si="772"/>
        <v>183</v>
      </c>
      <c r="R236" s="23">
        <f t="shared" si="805"/>
        <v>0.25</v>
      </c>
      <c r="S236" s="61">
        <f t="shared" ref="S236:S238" si="812">Q236*R236</f>
        <v>45.75</v>
      </c>
      <c r="T236" s="61">
        <f t="shared" ref="T236:T238" si="813">S236/2</f>
        <v>22.875</v>
      </c>
      <c r="U236" s="61">
        <f t="shared" si="774"/>
        <v>57.125</v>
      </c>
      <c r="V236" s="61"/>
      <c r="W236" s="61">
        <f t="shared" si="806"/>
        <v>57.975975830259024</v>
      </c>
      <c r="X236" s="61">
        <f t="shared" si="807"/>
        <v>26.610828964718017</v>
      </c>
      <c r="Y236" s="61">
        <f>SQRT(X236*X236+U236*U236)</f>
        <v>63.019059364524601</v>
      </c>
      <c r="Z236" s="69">
        <f>DEGREES(ASIN(X236/Y236))</f>
        <v>24.97775532952792</v>
      </c>
      <c r="AA236" s="69">
        <f t="shared" si="777"/>
        <v>39.837725668028355</v>
      </c>
      <c r="AB236" s="4">
        <f t="shared" si="778"/>
        <v>64.815480997556278</v>
      </c>
      <c r="AC236" s="121">
        <f t="shared" si="808"/>
        <v>-2.5331358552165142</v>
      </c>
      <c r="AD236" s="121">
        <f t="shared" si="787"/>
        <v>111.28386481756397</v>
      </c>
      <c r="AE236" s="149">
        <f t="shared" si="809"/>
        <v>0.17350527211139877</v>
      </c>
      <c r="AF236" s="59"/>
      <c r="AG236" s="128">
        <f t="shared" si="788"/>
        <v>-3</v>
      </c>
      <c r="AH236" s="128">
        <f t="shared" si="781"/>
        <v>-2.5331358552165142</v>
      </c>
      <c r="AI236" s="128">
        <f t="shared" si="789"/>
        <v>2.7066411273278987</v>
      </c>
      <c r="AJ236" s="128">
        <f t="shared" si="782"/>
        <v>0.17350527211139877</v>
      </c>
      <c r="AK236" s="128">
        <f t="shared" si="790"/>
        <v>6.0241473179500389</v>
      </c>
      <c r="AS236" s="61">
        <f t="shared" si="783"/>
        <v>91.860326954661673</v>
      </c>
    </row>
    <row r="237" spans="1:45">
      <c r="A237" s="59"/>
      <c r="B237" s="20">
        <f t="shared" si="784"/>
        <v>183</v>
      </c>
      <c r="C237" s="18">
        <f t="shared" si="799"/>
        <v>162.89629500000001</v>
      </c>
      <c r="D237" s="63">
        <f t="shared" ref="D237:G237" si="814">D222</f>
        <v>38.163978789843071</v>
      </c>
      <c r="E237" s="63">
        <f t="shared" si="814"/>
        <v>88</v>
      </c>
      <c r="F237" s="63">
        <f t="shared" si="814"/>
        <v>160</v>
      </c>
      <c r="G237" s="63">
        <f t="shared" si="814"/>
        <v>20</v>
      </c>
      <c r="H237" s="146">
        <f t="shared" si="801"/>
        <v>47.400714945270828</v>
      </c>
      <c r="I237" s="20"/>
      <c r="J237" s="63"/>
      <c r="K237" s="69">
        <f t="shared" si="802"/>
        <v>3.6389722525910315</v>
      </c>
      <c r="L237" s="63">
        <f t="shared" si="786"/>
        <v>66.249497989943649</v>
      </c>
      <c r="M237" s="41">
        <f t="shared" si="803"/>
        <v>4</v>
      </c>
      <c r="N237" s="61"/>
      <c r="O237" s="61"/>
      <c r="P237" s="23">
        <f t="shared" si="804"/>
        <v>1</v>
      </c>
      <c r="Q237" s="20">
        <f t="shared" si="772"/>
        <v>183</v>
      </c>
      <c r="R237" s="23">
        <f t="shared" si="805"/>
        <v>0.25</v>
      </c>
      <c r="S237" s="61">
        <f t="shared" si="812"/>
        <v>45.75</v>
      </c>
      <c r="T237" s="61">
        <f t="shared" si="813"/>
        <v>22.875</v>
      </c>
      <c r="U237" s="61">
        <f t="shared" si="774"/>
        <v>57.125</v>
      </c>
      <c r="V237" s="61"/>
      <c r="W237" s="61">
        <f t="shared" si="806"/>
        <v>57.975975830259024</v>
      </c>
      <c r="X237" s="61">
        <f t="shared" si="807"/>
        <v>25.610828964718017</v>
      </c>
      <c r="Y237" s="61">
        <f t="shared" ref="Y237:Y238" si="815">SQRT(X237*X237+U237*U237)</f>
        <v>62.60335602234148</v>
      </c>
      <c r="Z237" s="69">
        <f t="shared" ref="Z237:Z238" si="816">DEGREES(ASIN(X237/Y237))</f>
        <v>24.148106145499938</v>
      </c>
      <c r="AA237" s="69">
        <f t="shared" si="777"/>
        <v>39.796158807525742</v>
      </c>
      <c r="AB237" s="4">
        <f t="shared" si="778"/>
        <v>63.94426495302568</v>
      </c>
      <c r="AC237" s="121">
        <f t="shared" si="808"/>
        <v>-3.4043518997471125</v>
      </c>
      <c r="AD237" s="121">
        <f t="shared" si="787"/>
        <v>111.34497989829651</v>
      </c>
      <c r="AE237" s="149">
        <f t="shared" si="809"/>
        <v>0.23462035284394744</v>
      </c>
      <c r="AF237" s="59"/>
      <c r="AG237" s="128">
        <f t="shared" si="788"/>
        <v>-4</v>
      </c>
      <c r="AH237" s="128">
        <f t="shared" si="781"/>
        <v>-3.4043518997471125</v>
      </c>
      <c r="AI237" s="128">
        <f t="shared" si="789"/>
        <v>3.6389722525910315</v>
      </c>
      <c r="AJ237" s="128">
        <f t="shared" si="782"/>
        <v>0.23462035284394744</v>
      </c>
      <c r="AK237" s="128">
        <f t="shared" si="790"/>
        <v>8.1639787898430711</v>
      </c>
      <c r="AS237" s="61">
        <f t="shared" si="783"/>
        <v>91.860326954661673</v>
      </c>
    </row>
    <row r="238" spans="1:45">
      <c r="A238" s="59"/>
      <c r="B238" s="20">
        <f t="shared" si="784"/>
        <v>183</v>
      </c>
      <c r="C238" s="18">
        <f t="shared" si="799"/>
        <v>162.89629500000001</v>
      </c>
      <c r="D238" s="63">
        <f t="shared" ref="D238:G238" si="817">D223</f>
        <v>40.375503844729764</v>
      </c>
      <c r="E238" s="63">
        <f t="shared" si="817"/>
        <v>88</v>
      </c>
      <c r="F238" s="63">
        <f t="shared" si="817"/>
        <v>160</v>
      </c>
      <c r="G238" s="63">
        <f t="shared" si="817"/>
        <v>20</v>
      </c>
      <c r="H238" s="146">
        <f t="shared" si="801"/>
        <v>48.349846834774922</v>
      </c>
      <c r="I238" s="20"/>
      <c r="J238" s="63"/>
      <c r="K238" s="69">
        <f t="shared" si="802"/>
        <v>4.5881041420951263</v>
      </c>
      <c r="L238" s="63">
        <f t="shared" si="786"/>
        <v>67.249497989943649</v>
      </c>
      <c r="M238" s="41">
        <f>L238-L$233</f>
        <v>5</v>
      </c>
      <c r="N238" s="61"/>
      <c r="O238" s="61"/>
      <c r="P238" s="23">
        <f>P$233</f>
        <v>1</v>
      </c>
      <c r="Q238" s="20">
        <f t="shared" si="772"/>
        <v>183</v>
      </c>
      <c r="R238" s="23">
        <f>R$233</f>
        <v>0.25</v>
      </c>
      <c r="S238" s="61">
        <f t="shared" si="812"/>
        <v>45.75</v>
      </c>
      <c r="T238" s="61">
        <f t="shared" si="813"/>
        <v>22.875</v>
      </c>
      <c r="U238" s="61">
        <f t="shared" si="774"/>
        <v>57.125</v>
      </c>
      <c r="V238" s="61"/>
      <c r="W238" s="61">
        <f t="shared" si="806"/>
        <v>57.975975830259024</v>
      </c>
      <c r="X238" s="61">
        <f>X$233-M238</f>
        <v>24.610828964718017</v>
      </c>
      <c r="Y238" s="61">
        <f t="shared" si="815"/>
        <v>62.200952784749234</v>
      </c>
      <c r="Z238" s="69">
        <f t="shared" si="816"/>
        <v>23.307544108722833</v>
      </c>
      <c r="AA238" s="69">
        <f t="shared" si="777"/>
        <v>39.752722993173748</v>
      </c>
      <c r="AB238" s="4">
        <f t="shared" si="778"/>
        <v>63.060267101896585</v>
      </c>
      <c r="AC238" s="121">
        <f t="shared" si="808"/>
        <v>-4.2883497508762076</v>
      </c>
      <c r="AD238" s="121">
        <f t="shared" si="787"/>
        <v>111.41011393667151</v>
      </c>
      <c r="AE238" s="149">
        <f t="shared" si="809"/>
        <v>0.29975439121893999</v>
      </c>
      <c r="AF238" s="59"/>
      <c r="AG238" s="128">
        <f t="shared" si="788"/>
        <v>-5</v>
      </c>
      <c r="AH238" s="128">
        <f t="shared" si="781"/>
        <v>-4.2883497508762076</v>
      </c>
      <c r="AI238" s="128">
        <f t="shared" si="789"/>
        <v>4.5881041420951263</v>
      </c>
      <c r="AJ238" s="128">
        <f t="shared" si="782"/>
        <v>0.29975439121893999</v>
      </c>
      <c r="AK238" s="128">
        <f t="shared" si="790"/>
        <v>10.375503844729764</v>
      </c>
      <c r="AO238" s="61">
        <f t="shared" ref="AO238" si="818">L238+X238</f>
        <v>91.860326954661673</v>
      </c>
    </row>
    <row r="239" spans="1:45">
      <c r="A239" s="12"/>
      <c r="B239" s="5"/>
      <c r="C239" s="13"/>
      <c r="D239" s="5"/>
      <c r="E239" s="5"/>
      <c r="F239" s="5"/>
      <c r="G239" s="5"/>
      <c r="H239" s="13"/>
      <c r="I239" s="104"/>
      <c r="J239" s="13"/>
      <c r="K239" s="13"/>
      <c r="L239" s="13"/>
      <c r="M239" s="45"/>
      <c r="N239" s="13"/>
      <c r="O239" s="13"/>
      <c r="P239" s="103"/>
      <c r="Q239" s="23"/>
      <c r="R239" s="103"/>
      <c r="S239" s="13"/>
      <c r="T239" s="13"/>
      <c r="U239" s="13"/>
      <c r="V239" s="13"/>
      <c r="W239" s="13"/>
      <c r="X239" s="13"/>
      <c r="Y239" s="13"/>
      <c r="Z239" s="104"/>
      <c r="AA239" s="104"/>
      <c r="AB239" s="104"/>
      <c r="AC239" s="109"/>
      <c r="AD239" s="104"/>
      <c r="AE239" s="109"/>
      <c r="AF239" s="12"/>
      <c r="AG239" s="12"/>
      <c r="AH239" s="12"/>
      <c r="AI239" s="12"/>
      <c r="AJ239" s="12"/>
      <c r="AK239" s="12"/>
    </row>
    <row r="240" spans="1:45">
      <c r="A240" s="15" t="s">
        <v>119</v>
      </c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  <c r="X240" s="59"/>
      <c r="Y240" s="59"/>
      <c r="Z240" s="59"/>
      <c r="AA240" s="59"/>
      <c r="AB240" s="59"/>
      <c r="AC240" s="59"/>
      <c r="AD240" s="59"/>
      <c r="AE240" s="59"/>
      <c r="AF240" s="59"/>
      <c r="AG240" s="59" t="s">
        <v>110</v>
      </c>
      <c r="AH240" s="59"/>
      <c r="AI240" s="59"/>
      <c r="AJ240" s="59"/>
      <c r="AK240" s="59"/>
    </row>
    <row r="241" spans="1:38">
      <c r="A241" s="2" t="s">
        <v>107</v>
      </c>
      <c r="B241" s="60">
        <v>0</v>
      </c>
      <c r="C241" s="2"/>
      <c r="D241" s="60">
        <v>0</v>
      </c>
      <c r="E241" s="60">
        <v>0</v>
      </c>
      <c r="F241" s="60">
        <v>1</v>
      </c>
      <c r="G241" s="59"/>
      <c r="H241" s="60">
        <v>1</v>
      </c>
      <c r="I241" s="59"/>
      <c r="J241" s="59"/>
      <c r="K241" s="59"/>
      <c r="L241" s="59"/>
      <c r="M241" s="59"/>
      <c r="N241" s="59"/>
      <c r="O241" s="59"/>
      <c r="P241" s="2" t="s">
        <v>52</v>
      </c>
      <c r="Q241" s="2"/>
      <c r="R241" s="2"/>
      <c r="S241" s="138"/>
      <c r="T241" s="138"/>
      <c r="U241" s="59"/>
      <c r="V241" s="59"/>
      <c r="W241" s="59"/>
      <c r="X241" s="59"/>
      <c r="Y241" s="59"/>
      <c r="Z241" s="59"/>
      <c r="AA241" s="59"/>
      <c r="AB241" s="59"/>
      <c r="AC241" s="59"/>
      <c r="AD241" s="59"/>
      <c r="AE241" s="59"/>
      <c r="AF241" s="59"/>
      <c r="AG241" s="59"/>
      <c r="AH241" s="59"/>
      <c r="AI241" s="59"/>
      <c r="AJ241" s="59"/>
      <c r="AK241" s="59"/>
    </row>
    <row r="242" spans="1:38" ht="135">
      <c r="A242" s="27"/>
      <c r="B242" s="48" t="s">
        <v>12</v>
      </c>
      <c r="C242" s="48" t="s">
        <v>8</v>
      </c>
      <c r="D242" s="141" t="s">
        <v>42</v>
      </c>
      <c r="E242" s="143" t="s">
        <v>3</v>
      </c>
      <c r="F242" s="65" t="s">
        <v>4</v>
      </c>
      <c r="G242" s="28" t="s">
        <v>41</v>
      </c>
      <c r="H242" s="65" t="s">
        <v>118</v>
      </c>
      <c r="I242" s="66" t="s">
        <v>1</v>
      </c>
      <c r="J242" s="66" t="s">
        <v>6</v>
      </c>
      <c r="K242" s="66" t="s">
        <v>5</v>
      </c>
      <c r="L242" s="35"/>
      <c r="M242" s="66" t="s">
        <v>21</v>
      </c>
      <c r="N242" s="66" t="s">
        <v>20</v>
      </c>
      <c r="O242" s="66" t="s">
        <v>22</v>
      </c>
      <c r="P242" s="31" t="s">
        <v>49</v>
      </c>
      <c r="Q242" s="31" t="s">
        <v>9</v>
      </c>
      <c r="R242" s="28" t="s">
        <v>18</v>
      </c>
      <c r="S242" s="28" t="s">
        <v>19</v>
      </c>
      <c r="T242" s="73" t="s">
        <v>83</v>
      </c>
      <c r="U242" s="28" t="s">
        <v>120</v>
      </c>
      <c r="V242" s="28" t="s">
        <v>121</v>
      </c>
      <c r="W242" s="27"/>
      <c r="X242" s="35"/>
      <c r="Y242" s="35"/>
      <c r="Z242" s="35"/>
      <c r="AA242" s="35"/>
      <c r="AB242" s="35"/>
      <c r="AC242" s="35"/>
      <c r="AD242" s="35"/>
      <c r="AE242" s="35"/>
      <c r="AF242" s="35"/>
      <c r="AG242" s="28" t="str">
        <f>H242</f>
        <v>Stretcher movement to stern (cm)</v>
      </c>
      <c r="AH242" s="28" t="s">
        <v>113</v>
      </c>
      <c r="AI242" s="28" t="s">
        <v>114</v>
      </c>
      <c r="AJ242" s="28" t="s">
        <v>115</v>
      </c>
      <c r="AK242" s="28" t="str">
        <f>U242</f>
        <v>Change in span (cm)</v>
      </c>
      <c r="AL242" s="157" t="str">
        <f>V242</f>
        <v>change in overlap (cm)</v>
      </c>
    </row>
    <row r="243" spans="1:38">
      <c r="A243" s="59"/>
      <c r="B243" s="140">
        <f t="shared" ref="B243" si="819">5*B241+B248</f>
        <v>183</v>
      </c>
      <c r="C243" s="18">
        <f t="shared" ref="C243:C247" si="820">100*(0.297865*B243/100+1.08387)</f>
        <v>162.89629500000001</v>
      </c>
      <c r="D243" s="140">
        <f t="shared" ref="D243:E243" si="821">5*D241+D248</f>
        <v>30</v>
      </c>
      <c r="E243" s="140">
        <f t="shared" si="821"/>
        <v>88</v>
      </c>
      <c r="F243" s="63">
        <f t="shared" ref="F243:F246" si="822">D243+2*SQRT((E243+2)^2-P243^2)</f>
        <v>168.8883721540351</v>
      </c>
      <c r="G243" s="63">
        <f t="shared" ref="G243:G247" si="823">(E243+2)*2 -F243</f>
        <v>11.111627845964904</v>
      </c>
      <c r="H243" s="63">
        <f>5*H241+H248</f>
        <v>5</v>
      </c>
      <c r="I243" s="9">
        <f t="shared" ref="I243:I246" si="824">DEGREES(ASIN((P243)/(E243+2)))</f>
        <v>39.502028109618998</v>
      </c>
      <c r="J243" s="9">
        <f t="shared" ref="J243:J253" si="825">DEGREES(C243/(E243-6+2))</f>
        <v>111.11035954545257</v>
      </c>
      <c r="K243" s="9">
        <f t="shared" ref="K243:K247" si="826">J243-I243</f>
        <v>71.608331435833577</v>
      </c>
      <c r="L243" s="59"/>
      <c r="M243" s="44">
        <f t="shared" ref="M243:M247" si="827">K243-K$248</f>
        <v>4.2597145830607985</v>
      </c>
      <c r="N243" s="44">
        <f t="shared" ref="N243:N247" si="828">I243-I$248</f>
        <v>-4.2597145830607985</v>
      </c>
      <c r="O243" s="44">
        <f t="shared" ref="O243:O247" si="829">J243-J$248</f>
        <v>0</v>
      </c>
      <c r="P243" s="62">
        <f t="shared" ref="P243:P252" si="830">P$248-H243</f>
        <v>57.249497989943649</v>
      </c>
      <c r="Q243" s="62">
        <f t="shared" ref="Q243:Q247" si="831">P243-P$248</f>
        <v>-5</v>
      </c>
      <c r="R243" s="49">
        <f t="shared" ref="R243:R253" si="832">(E243+2)*SIN(RADIANS(K243))</f>
        <v>85.402971040551037</v>
      </c>
      <c r="S243" s="49">
        <f t="shared" ref="S243:S253" si="833">(F243/2)- (E243+2)*COS(RADIANS(K243))</f>
        <v>56.048190981814415</v>
      </c>
      <c r="T243" s="49">
        <f t="shared" ref="T243:T247" si="834">D243-D$248</f>
        <v>0</v>
      </c>
      <c r="U243" s="61">
        <f>F243-F$248</f>
        <v>8.8883721540350962</v>
      </c>
      <c r="V243" s="61">
        <f>G243-G$248</f>
        <v>-8.8883721540350962</v>
      </c>
      <c r="W243" s="59"/>
      <c r="X243" s="59"/>
      <c r="Y243" s="59"/>
      <c r="Z243" s="59"/>
      <c r="AA243" s="59"/>
      <c r="AB243" s="59"/>
      <c r="AC243" s="59"/>
      <c r="AD243" s="59"/>
      <c r="AE243" s="59"/>
      <c r="AF243" s="59"/>
      <c r="AG243" s="128">
        <f>H243</f>
        <v>5</v>
      </c>
      <c r="AH243" s="128">
        <f>M243</f>
        <v>4.2597145830607985</v>
      </c>
      <c r="AI243" s="128">
        <f>N243</f>
        <v>-4.2597145830607985</v>
      </c>
      <c r="AJ243" s="128">
        <f t="shared" ref="AJ243:AJ253" si="835">O243</f>
        <v>0</v>
      </c>
      <c r="AK243" s="128">
        <f>U243</f>
        <v>8.8883721540350962</v>
      </c>
      <c r="AL243" s="61">
        <f>V243</f>
        <v>-8.8883721540350962</v>
      </c>
    </row>
    <row r="244" spans="1:38">
      <c r="A244" s="59"/>
      <c r="B244" s="140">
        <f t="shared" ref="B244" si="836">4*B241+B248</f>
        <v>183</v>
      </c>
      <c r="C244" s="18">
        <f t="shared" si="820"/>
        <v>162.89629500000001</v>
      </c>
      <c r="D244" s="140">
        <f t="shared" ref="D244:E244" si="837">4*D241+D248</f>
        <v>30</v>
      </c>
      <c r="E244" s="140">
        <f t="shared" si="837"/>
        <v>88</v>
      </c>
      <c r="F244" s="63">
        <f t="shared" si="822"/>
        <v>167.21510097535986</v>
      </c>
      <c r="G244" s="63">
        <f t="shared" si="823"/>
        <v>12.78489902464014</v>
      </c>
      <c r="H244" s="63">
        <f>4*H241+H248</f>
        <v>4</v>
      </c>
      <c r="I244" s="9">
        <f t="shared" si="824"/>
        <v>40.332076015646244</v>
      </c>
      <c r="J244" s="9">
        <f t="shared" si="825"/>
        <v>111.11035954545257</v>
      </c>
      <c r="K244" s="9">
        <f t="shared" si="826"/>
        <v>70.778283529806316</v>
      </c>
      <c r="L244" s="59"/>
      <c r="M244" s="44">
        <f t="shared" si="827"/>
        <v>3.4296666770335378</v>
      </c>
      <c r="N244" s="44">
        <f t="shared" si="828"/>
        <v>-3.429666677033552</v>
      </c>
      <c r="O244" s="44">
        <f t="shared" si="829"/>
        <v>0</v>
      </c>
      <c r="P244" s="62">
        <f t="shared" si="830"/>
        <v>58.249497989943649</v>
      </c>
      <c r="Q244" s="62">
        <f t="shared" si="831"/>
        <v>-4</v>
      </c>
      <c r="R244" s="49">
        <f t="shared" si="832"/>
        <v>84.982648867655953</v>
      </c>
      <c r="S244" s="49">
        <f t="shared" si="833"/>
        <v>53.977339698070381</v>
      </c>
      <c r="T244" s="49">
        <f t="shared" si="834"/>
        <v>0</v>
      </c>
      <c r="U244" s="61">
        <f t="shared" ref="U244:U253" si="838">F244-F$248</f>
        <v>7.2151009753598601</v>
      </c>
      <c r="V244" s="61">
        <f t="shared" ref="V244:V253" si="839">G244-G$248</f>
        <v>-7.2151009753598601</v>
      </c>
      <c r="W244" s="59"/>
      <c r="X244" s="59"/>
      <c r="Y244" s="59"/>
      <c r="Z244" s="59"/>
      <c r="AA244" s="59"/>
      <c r="AB244" s="59"/>
      <c r="AC244" s="59"/>
      <c r="AD244" s="59"/>
      <c r="AE244" s="59"/>
      <c r="AF244" s="59"/>
      <c r="AG244" s="128">
        <f t="shared" ref="AG244:AG253" si="840">H244</f>
        <v>4</v>
      </c>
      <c r="AH244" s="128">
        <f t="shared" ref="AH244:AH253" si="841">M244</f>
        <v>3.4296666770335378</v>
      </c>
      <c r="AI244" s="128">
        <f t="shared" ref="AI244:AI253" si="842">N244</f>
        <v>-3.429666677033552</v>
      </c>
      <c r="AJ244" s="128">
        <f t="shared" si="835"/>
        <v>0</v>
      </c>
      <c r="AK244" s="128">
        <f t="shared" ref="AK244:AK253" si="843">U244</f>
        <v>7.2151009753598601</v>
      </c>
      <c r="AL244" s="61">
        <f t="shared" ref="AL244:AL253" si="844">V244</f>
        <v>-7.2151009753598601</v>
      </c>
    </row>
    <row r="245" spans="1:38">
      <c r="A245" s="59"/>
      <c r="B245" s="140">
        <f t="shared" ref="B245" si="845">3*B241+B248</f>
        <v>183</v>
      </c>
      <c r="C245" s="18">
        <f t="shared" si="820"/>
        <v>162.89629500000001</v>
      </c>
      <c r="D245" s="140">
        <f t="shared" ref="D245:E245" si="846">3*D241+D248</f>
        <v>30</v>
      </c>
      <c r="E245" s="140">
        <f t="shared" si="846"/>
        <v>88</v>
      </c>
      <c r="F245" s="63">
        <f t="shared" si="822"/>
        <v>165.49165270140685</v>
      </c>
      <c r="G245" s="63">
        <f t="shared" si="823"/>
        <v>14.508347298593151</v>
      </c>
      <c r="H245" s="63">
        <f>3*H241+H248</f>
        <v>3</v>
      </c>
      <c r="I245" s="9">
        <f t="shared" si="824"/>
        <v>41.172462277288687</v>
      </c>
      <c r="J245" s="9">
        <f t="shared" si="825"/>
        <v>111.11035954545257</v>
      </c>
      <c r="K245" s="9">
        <f t="shared" si="826"/>
        <v>69.93789726816388</v>
      </c>
      <c r="L245" s="59"/>
      <c r="M245" s="44">
        <f t="shared" si="827"/>
        <v>2.5892804153911015</v>
      </c>
      <c r="N245" s="44">
        <f t="shared" si="828"/>
        <v>-2.5892804153911086</v>
      </c>
      <c r="O245" s="44">
        <f t="shared" si="829"/>
        <v>0</v>
      </c>
      <c r="P245" s="62">
        <f t="shared" si="830"/>
        <v>59.249497989943649</v>
      </c>
      <c r="Q245" s="62">
        <f t="shared" si="831"/>
        <v>-3</v>
      </c>
      <c r="R245" s="49">
        <f t="shared" si="832"/>
        <v>84.53892187896291</v>
      </c>
      <c r="S245" s="49">
        <f t="shared" si="833"/>
        <v>51.872363837687381</v>
      </c>
      <c r="T245" s="49">
        <f t="shared" si="834"/>
        <v>0</v>
      </c>
      <c r="U245" s="61">
        <f t="shared" si="838"/>
        <v>5.4916527014068492</v>
      </c>
      <c r="V245" s="61">
        <f t="shared" si="839"/>
        <v>-5.4916527014068492</v>
      </c>
      <c r="W245" s="59"/>
      <c r="X245" s="59"/>
      <c r="Y245" s="59"/>
      <c r="Z245" s="59"/>
      <c r="AA245" s="59"/>
      <c r="AB245" s="59"/>
      <c r="AC245" s="59"/>
      <c r="AD245" s="59"/>
      <c r="AE245" s="59"/>
      <c r="AF245" s="59"/>
      <c r="AG245" s="128">
        <f t="shared" si="840"/>
        <v>3</v>
      </c>
      <c r="AH245" s="128">
        <f t="shared" si="841"/>
        <v>2.5892804153911015</v>
      </c>
      <c r="AI245" s="128">
        <f t="shared" si="842"/>
        <v>-2.5892804153911086</v>
      </c>
      <c r="AJ245" s="128">
        <f t="shared" si="835"/>
        <v>0</v>
      </c>
      <c r="AK245" s="128">
        <f t="shared" si="843"/>
        <v>5.4916527014068492</v>
      </c>
      <c r="AL245" s="61">
        <f t="shared" si="844"/>
        <v>-5.4916527014068492</v>
      </c>
    </row>
    <row r="246" spans="1:38">
      <c r="A246" s="59"/>
      <c r="B246" s="140">
        <f t="shared" ref="B246" si="847">2*B241+B248</f>
        <v>183</v>
      </c>
      <c r="C246" s="18">
        <f t="shared" si="820"/>
        <v>162.89629500000001</v>
      </c>
      <c r="D246" s="140">
        <f t="shared" ref="D246:E246" si="848">2*D241+D248</f>
        <v>30</v>
      </c>
      <c r="E246" s="140">
        <f t="shared" si="848"/>
        <v>88</v>
      </c>
      <c r="F246" s="63">
        <f t="shared" si="822"/>
        <v>163.71608716919258</v>
      </c>
      <c r="G246" s="63">
        <f t="shared" si="823"/>
        <v>16.283912830807424</v>
      </c>
      <c r="H246" s="63">
        <f>2*H241+H248</f>
        <v>2</v>
      </c>
      <c r="I246" s="9">
        <f t="shared" si="824"/>
        <v>42.023771016995425</v>
      </c>
      <c r="J246" s="9">
        <f t="shared" si="825"/>
        <v>111.11035954545257</v>
      </c>
      <c r="K246" s="9">
        <f t="shared" si="826"/>
        <v>69.086588528457142</v>
      </c>
      <c r="L246" s="59"/>
      <c r="M246" s="44">
        <f t="shared" si="827"/>
        <v>1.7379716756843635</v>
      </c>
      <c r="N246" s="44">
        <f t="shared" si="828"/>
        <v>-1.7379716756843706</v>
      </c>
      <c r="O246" s="44">
        <f t="shared" si="829"/>
        <v>0</v>
      </c>
      <c r="P246" s="62">
        <f t="shared" si="830"/>
        <v>60.249497989943649</v>
      </c>
      <c r="Q246" s="62">
        <f t="shared" si="831"/>
        <v>-2</v>
      </c>
      <c r="R246" s="49">
        <f t="shared" si="832"/>
        <v>84.070885096672811</v>
      </c>
      <c r="S246" s="49">
        <f t="shared" si="833"/>
        <v>49.73194392929986</v>
      </c>
      <c r="T246" s="49">
        <f t="shared" si="834"/>
        <v>0</v>
      </c>
      <c r="U246" s="61">
        <f t="shared" si="838"/>
        <v>3.7160871691925763</v>
      </c>
      <c r="V246" s="61">
        <f t="shared" si="839"/>
        <v>-3.7160871691925763</v>
      </c>
      <c r="W246" s="59"/>
      <c r="X246" s="59"/>
      <c r="Y246" s="59"/>
      <c r="Z246" s="59"/>
      <c r="AA246" s="59"/>
      <c r="AB246" s="59"/>
      <c r="AC246" s="59"/>
      <c r="AD246" s="59"/>
      <c r="AE246" s="59"/>
      <c r="AF246" s="59"/>
      <c r="AG246" s="128">
        <f t="shared" si="840"/>
        <v>2</v>
      </c>
      <c r="AH246" s="128">
        <f t="shared" si="841"/>
        <v>1.7379716756843635</v>
      </c>
      <c r="AI246" s="128">
        <f t="shared" si="842"/>
        <v>-1.7379716756843706</v>
      </c>
      <c r="AJ246" s="128">
        <f t="shared" si="835"/>
        <v>0</v>
      </c>
      <c r="AK246" s="128">
        <f t="shared" si="843"/>
        <v>3.7160871691925763</v>
      </c>
      <c r="AL246" s="61">
        <f t="shared" si="844"/>
        <v>-3.7160871691925763</v>
      </c>
    </row>
    <row r="247" spans="1:38">
      <c r="A247" s="59"/>
      <c r="B247" s="140">
        <f t="shared" ref="B247" si="849">B248+B241</f>
        <v>183</v>
      </c>
      <c r="C247" s="18">
        <f t="shared" si="820"/>
        <v>162.89629500000001</v>
      </c>
      <c r="D247" s="140">
        <f t="shared" ref="D247:E247" si="850">D248+D241</f>
        <v>30</v>
      </c>
      <c r="E247" s="140">
        <f t="shared" si="850"/>
        <v>88</v>
      </c>
      <c r="F247" s="63">
        <f>D247+2*SQRT((E247+2)^2-P247^2)</f>
        <v>161.88629945494552</v>
      </c>
      <c r="G247" s="63">
        <f t="shared" si="823"/>
        <v>18.113700545054485</v>
      </c>
      <c r="H247" s="63">
        <f>H248+H241</f>
        <v>1</v>
      </c>
      <c r="I247" s="9">
        <f>DEGREES(ASIN((P247)/(E247+2)))</f>
        <v>42.886635200642822</v>
      </c>
      <c r="J247" s="9">
        <f t="shared" si="825"/>
        <v>111.11035954545257</v>
      </c>
      <c r="K247" s="9">
        <f t="shared" si="826"/>
        <v>68.223724344809739</v>
      </c>
      <c r="L247" s="59"/>
      <c r="M247" s="44">
        <f t="shared" si="827"/>
        <v>0.87510749203696037</v>
      </c>
      <c r="N247" s="44">
        <f t="shared" si="828"/>
        <v>-0.87510749203697458</v>
      </c>
      <c r="O247" s="44">
        <f t="shared" si="829"/>
        <v>0</v>
      </c>
      <c r="P247" s="62">
        <f>P$248-H247</f>
        <v>61.249497989943649</v>
      </c>
      <c r="Q247" s="62">
        <f t="shared" si="831"/>
        <v>-1</v>
      </c>
      <c r="R247" s="49">
        <f t="shared" si="832"/>
        <v>83.577556691270274</v>
      </c>
      <c r="S247" s="49">
        <f t="shared" si="833"/>
        <v>47.554648450573524</v>
      </c>
      <c r="T247" s="49">
        <f t="shared" si="834"/>
        <v>0</v>
      </c>
      <c r="U247" s="61">
        <f t="shared" si="838"/>
        <v>1.8862994549455152</v>
      </c>
      <c r="V247" s="61">
        <f t="shared" si="839"/>
        <v>-1.8862994549455152</v>
      </c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128">
        <f t="shared" si="840"/>
        <v>1</v>
      </c>
      <c r="AH247" s="128">
        <f t="shared" si="841"/>
        <v>0.87510749203696037</v>
      </c>
      <c r="AI247" s="128">
        <f t="shared" si="842"/>
        <v>-0.87510749203697458</v>
      </c>
      <c r="AJ247" s="128">
        <f t="shared" si="835"/>
        <v>0</v>
      </c>
      <c r="AK247" s="128">
        <f t="shared" si="843"/>
        <v>1.8862994549455152</v>
      </c>
      <c r="AL247" s="61">
        <f t="shared" si="844"/>
        <v>-1.8862994549455152</v>
      </c>
    </row>
    <row r="248" spans="1:38">
      <c r="A248" s="15"/>
      <c r="B248" s="147">
        <v>183</v>
      </c>
      <c r="C248" s="18">
        <f>100*(0.297865*B248/100+1.08387)</f>
        <v>162.89629500000001</v>
      </c>
      <c r="D248" s="147">
        <v>30</v>
      </c>
      <c r="E248" s="147">
        <v>88</v>
      </c>
      <c r="F248" s="40">
        <v>160</v>
      </c>
      <c r="G248" s="40">
        <f>(E248+2)*2 -F248</f>
        <v>20</v>
      </c>
      <c r="H248" s="147">
        <v>0</v>
      </c>
      <c r="I248" s="44">
        <f t="shared" ref="I248" si="851">DEGREES(ACOS((F248-D248)/2/(E248+2)))</f>
        <v>43.761742692679796</v>
      </c>
      <c r="J248" s="44">
        <f t="shared" si="825"/>
        <v>111.11035954545257</v>
      </c>
      <c r="K248" s="44">
        <f>J248-I248</f>
        <v>67.348616852772778</v>
      </c>
      <c r="L248" s="15"/>
      <c r="M248" s="44">
        <f>K248-K$248</f>
        <v>0</v>
      </c>
      <c r="N248" s="44">
        <f>I248-I$248</f>
        <v>0</v>
      </c>
      <c r="O248" s="44">
        <f>J248-J$248</f>
        <v>0</v>
      </c>
      <c r="P248" s="41">
        <f t="shared" ref="P248" si="852">((F248-D248)/2)*TAN(RADIANS(I248))</f>
        <v>62.249497989943649</v>
      </c>
      <c r="Q248" s="62">
        <f>P248-P$248</f>
        <v>0</v>
      </c>
      <c r="R248" s="39">
        <f t="shared" si="832"/>
        <v>83.057868711361749</v>
      </c>
      <c r="S248" s="39">
        <f t="shared" si="833"/>
        <v>45.338920312168661</v>
      </c>
      <c r="T248" s="49">
        <f>D248-D$248</f>
        <v>0</v>
      </c>
      <c r="U248" s="61">
        <f t="shared" si="838"/>
        <v>0</v>
      </c>
      <c r="V248" s="61">
        <f t="shared" si="839"/>
        <v>0</v>
      </c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28">
        <f t="shared" si="840"/>
        <v>0</v>
      </c>
      <c r="AH248" s="148">
        <f t="shared" si="841"/>
        <v>0</v>
      </c>
      <c r="AI248" s="148">
        <f t="shared" si="842"/>
        <v>0</v>
      </c>
      <c r="AJ248" s="148">
        <f t="shared" si="835"/>
        <v>0</v>
      </c>
      <c r="AK248" s="128">
        <f t="shared" si="843"/>
        <v>0</v>
      </c>
      <c r="AL248" s="61">
        <f t="shared" si="844"/>
        <v>0</v>
      </c>
    </row>
    <row r="249" spans="1:38">
      <c r="A249" s="59"/>
      <c r="B249" s="140">
        <f t="shared" ref="B249" si="853">B248-B241</f>
        <v>183</v>
      </c>
      <c r="C249" s="18">
        <f>100*(0.297865*B253/100+1.08387)</f>
        <v>162.89629500000001</v>
      </c>
      <c r="D249" s="140">
        <f t="shared" ref="D249:E249" si="854">D248-D241</f>
        <v>30</v>
      </c>
      <c r="E249" s="140">
        <f t="shared" si="854"/>
        <v>88</v>
      </c>
      <c r="F249" s="63">
        <f t="shared" ref="F249:F252" si="855">D249+2*SQRT((E249+2)^2-P249^2)</f>
        <v>158.05469150359332</v>
      </c>
      <c r="G249" s="63">
        <f t="shared" ref="G249:G253" si="856">(E249+2)*2 -F249</f>
        <v>21.945308496406682</v>
      </c>
      <c r="H249" s="63">
        <f>H248-H241</f>
        <v>-1</v>
      </c>
      <c r="I249" s="9">
        <f t="shared" ref="I249:I252" si="857">DEGREES(ASIN((P249)/(E249+2)))</f>
        <v>44.649843304592579</v>
      </c>
      <c r="J249" s="9">
        <f t="shared" si="825"/>
        <v>111.11035954545257</v>
      </c>
      <c r="K249" s="9">
        <f t="shared" ref="K249:K253" si="858">J249-I249</f>
        <v>66.460516240859988</v>
      </c>
      <c r="L249" s="59"/>
      <c r="M249" s="44">
        <f t="shared" ref="M249:M253" si="859">K249-K$248</f>
        <v>-0.88810061191279033</v>
      </c>
      <c r="N249" s="44">
        <f t="shared" ref="N249:N253" si="860">I249-I$248</f>
        <v>0.88810061191278322</v>
      </c>
      <c r="O249" s="44">
        <f t="shared" ref="O249:O253" si="861">J249-J$248</f>
        <v>0</v>
      </c>
      <c r="P249" s="62">
        <f t="shared" si="830"/>
        <v>63.249497989943649</v>
      </c>
      <c r="Q249" s="62">
        <f>P249-P$248</f>
        <v>1</v>
      </c>
      <c r="R249" s="49">
        <f t="shared" si="832"/>
        <v>82.510656305454262</v>
      </c>
      <c r="S249" s="49">
        <f t="shared" si="833"/>
        <v>43.083061142930106</v>
      </c>
      <c r="T249" s="49">
        <f t="shared" ref="T249:T253" si="862">D249-D$248</f>
        <v>0</v>
      </c>
      <c r="U249" s="61">
        <f t="shared" si="838"/>
        <v>-1.9453084964066818</v>
      </c>
      <c r="V249" s="61">
        <f t="shared" si="839"/>
        <v>1.9453084964066818</v>
      </c>
      <c r="W249" s="59"/>
      <c r="X249" s="59"/>
      <c r="Y249" s="59"/>
      <c r="Z249" s="59"/>
      <c r="AA249" s="59"/>
      <c r="AB249" s="59"/>
      <c r="AC249" s="59"/>
      <c r="AD249" s="59"/>
      <c r="AE249" s="59"/>
      <c r="AF249" s="59"/>
      <c r="AG249" s="128">
        <f t="shared" si="840"/>
        <v>-1</v>
      </c>
      <c r="AH249" s="128">
        <f t="shared" si="841"/>
        <v>-0.88810061191279033</v>
      </c>
      <c r="AI249" s="128">
        <f t="shared" si="842"/>
        <v>0.88810061191278322</v>
      </c>
      <c r="AJ249" s="128">
        <f t="shared" si="835"/>
        <v>0</v>
      </c>
      <c r="AK249" s="128">
        <f t="shared" si="843"/>
        <v>-1.9453084964066818</v>
      </c>
      <c r="AL249" s="61">
        <f t="shared" si="844"/>
        <v>1.9453084964066818</v>
      </c>
    </row>
    <row r="250" spans="1:38">
      <c r="A250" s="59"/>
      <c r="B250" s="140">
        <f t="shared" ref="B250" si="863">B248-2*B241</f>
        <v>183</v>
      </c>
      <c r="C250" s="18">
        <f t="shared" ref="C250:C253" si="864">100*(0.297865*B250/100+1.08387)</f>
        <v>162.89629500000001</v>
      </c>
      <c r="D250" s="140">
        <f t="shared" ref="D250:E250" si="865">D248-2*D241</f>
        <v>30</v>
      </c>
      <c r="E250" s="140">
        <f t="shared" si="865"/>
        <v>88</v>
      </c>
      <c r="F250" s="63">
        <f t="shared" si="855"/>
        <v>156.04764191432105</v>
      </c>
      <c r="G250" s="63">
        <f t="shared" si="856"/>
        <v>23.952358085678952</v>
      </c>
      <c r="H250" s="63">
        <f>H248-2*H241</f>
        <v>-2</v>
      </c>
      <c r="I250" s="9">
        <f t="shared" si="857"/>
        <v>45.551757043436325</v>
      </c>
      <c r="J250" s="9">
        <f t="shared" si="825"/>
        <v>111.11035954545257</v>
      </c>
      <c r="K250" s="9">
        <f t="shared" si="858"/>
        <v>65.558602502016242</v>
      </c>
      <c r="L250" s="59"/>
      <c r="M250" s="44">
        <f t="shared" si="859"/>
        <v>-1.790014350756536</v>
      </c>
      <c r="N250" s="44">
        <f t="shared" si="860"/>
        <v>1.7900143507565289</v>
      </c>
      <c r="O250" s="44">
        <f t="shared" si="861"/>
        <v>0</v>
      </c>
      <c r="P250" s="62">
        <f t="shared" si="830"/>
        <v>64.249497989943649</v>
      </c>
      <c r="Q250" s="62">
        <f t="shared" ref="Q250:Q253" si="866">P250-P$248</f>
        <v>2</v>
      </c>
      <c r="R250" s="49">
        <f t="shared" si="832"/>
        <v>81.934645123976267</v>
      </c>
      <c r="S250" s="49">
        <f t="shared" si="833"/>
        <v>40.785212921842223</v>
      </c>
      <c r="T250" s="49">
        <f t="shared" si="862"/>
        <v>0</v>
      </c>
      <c r="U250" s="61">
        <f t="shared" si="838"/>
        <v>-3.9523580856789522</v>
      </c>
      <c r="V250" s="61">
        <f t="shared" si="839"/>
        <v>3.9523580856789522</v>
      </c>
      <c r="W250" s="59"/>
      <c r="X250" s="59"/>
      <c r="Y250" s="59"/>
      <c r="Z250" s="59"/>
      <c r="AA250" s="59"/>
      <c r="AB250" s="59"/>
      <c r="AC250" s="59"/>
      <c r="AD250" s="59"/>
      <c r="AE250" s="59"/>
      <c r="AF250" s="59"/>
      <c r="AG250" s="128">
        <f t="shared" si="840"/>
        <v>-2</v>
      </c>
      <c r="AH250" s="128">
        <f t="shared" si="841"/>
        <v>-1.790014350756536</v>
      </c>
      <c r="AI250" s="128">
        <f t="shared" si="842"/>
        <v>1.7900143507565289</v>
      </c>
      <c r="AJ250" s="128">
        <f t="shared" si="835"/>
        <v>0</v>
      </c>
      <c r="AK250" s="128">
        <f t="shared" si="843"/>
        <v>-3.9523580856789522</v>
      </c>
      <c r="AL250" s="61">
        <f t="shared" si="844"/>
        <v>3.9523580856789522</v>
      </c>
    </row>
    <row r="251" spans="1:38">
      <c r="A251" s="59"/>
      <c r="B251" s="140">
        <f t="shared" ref="B251" si="867">B248-3*B241</f>
        <v>183</v>
      </c>
      <c r="C251" s="18">
        <f t="shared" si="864"/>
        <v>162.89629500000001</v>
      </c>
      <c r="D251" s="140">
        <f t="shared" ref="D251:E251" si="868">D248-3*D241</f>
        <v>30</v>
      </c>
      <c r="E251" s="140">
        <f t="shared" si="868"/>
        <v>88</v>
      </c>
      <c r="F251" s="63">
        <f t="shared" si="855"/>
        <v>153.97585268204998</v>
      </c>
      <c r="G251" s="63">
        <f t="shared" si="856"/>
        <v>26.024147317950025</v>
      </c>
      <c r="H251" s="63">
        <f>H248-3*H241</f>
        <v>-3</v>
      </c>
      <c r="I251" s="9">
        <f t="shared" si="857"/>
        <v>46.468383820007702</v>
      </c>
      <c r="J251" s="9">
        <f t="shared" si="825"/>
        <v>111.11035954545257</v>
      </c>
      <c r="K251" s="9">
        <f t="shared" si="858"/>
        <v>64.641975725444865</v>
      </c>
      <c r="L251" s="59"/>
      <c r="M251" s="44">
        <f t="shared" si="859"/>
        <v>-2.706641127327913</v>
      </c>
      <c r="N251" s="44">
        <f t="shared" si="860"/>
        <v>2.7066411273279058</v>
      </c>
      <c r="O251" s="44">
        <f t="shared" si="861"/>
        <v>0</v>
      </c>
      <c r="P251" s="62">
        <f t="shared" si="830"/>
        <v>65.249497989943649</v>
      </c>
      <c r="Q251" s="62">
        <f t="shared" si="866"/>
        <v>3</v>
      </c>
      <c r="R251" s="49">
        <f t="shared" si="832"/>
        <v>81.328436510565879</v>
      </c>
      <c r="S251" s="49">
        <f t="shared" si="833"/>
        <v>38.443336386702555</v>
      </c>
      <c r="T251" s="49">
        <f t="shared" si="862"/>
        <v>0</v>
      </c>
      <c r="U251" s="61">
        <f t="shared" si="838"/>
        <v>-6.0241473179500247</v>
      </c>
      <c r="V251" s="61">
        <f t="shared" si="839"/>
        <v>6.0241473179500247</v>
      </c>
      <c r="W251" s="59"/>
      <c r="X251" s="59"/>
      <c r="Y251" s="59"/>
      <c r="Z251" s="59"/>
      <c r="AA251" s="59"/>
      <c r="AB251" s="59"/>
      <c r="AC251" s="59"/>
      <c r="AD251" s="59"/>
      <c r="AE251" s="59"/>
      <c r="AF251" s="59"/>
      <c r="AG251" s="128">
        <f t="shared" si="840"/>
        <v>-3</v>
      </c>
      <c r="AH251" s="128">
        <f t="shared" si="841"/>
        <v>-2.706641127327913</v>
      </c>
      <c r="AI251" s="128">
        <f t="shared" si="842"/>
        <v>2.7066411273279058</v>
      </c>
      <c r="AJ251" s="128">
        <f t="shared" si="835"/>
        <v>0</v>
      </c>
      <c r="AK251" s="128">
        <f t="shared" si="843"/>
        <v>-6.0241473179500247</v>
      </c>
      <c r="AL251" s="61">
        <f t="shared" si="844"/>
        <v>6.0241473179500247</v>
      </c>
    </row>
    <row r="252" spans="1:38">
      <c r="A252" s="59"/>
      <c r="B252" s="140">
        <f t="shared" ref="B252" si="869">B248-4*B241</f>
        <v>183</v>
      </c>
      <c r="C252" s="18">
        <f t="shared" si="864"/>
        <v>162.89629500000001</v>
      </c>
      <c r="D252" s="140">
        <f t="shared" ref="D252:E252" si="870">D248-4*D241</f>
        <v>30</v>
      </c>
      <c r="E252" s="140">
        <f t="shared" si="870"/>
        <v>88</v>
      </c>
      <c r="F252" s="63">
        <f t="shared" si="855"/>
        <v>151.83602121015696</v>
      </c>
      <c r="G252" s="63">
        <f t="shared" si="856"/>
        <v>28.163978789843043</v>
      </c>
      <c r="H252" s="63">
        <f>H248-4*H241</f>
        <v>-4</v>
      </c>
      <c r="I252" s="9">
        <f t="shared" si="857"/>
        <v>47.400714945270835</v>
      </c>
      <c r="J252" s="9">
        <f t="shared" si="825"/>
        <v>111.11035954545257</v>
      </c>
      <c r="K252" s="9">
        <f t="shared" si="858"/>
        <v>63.709644600181733</v>
      </c>
      <c r="L252" s="59"/>
      <c r="M252" s="44">
        <f t="shared" si="859"/>
        <v>-3.6389722525910457</v>
      </c>
      <c r="N252" s="44">
        <f t="shared" si="860"/>
        <v>3.6389722525910386</v>
      </c>
      <c r="O252" s="44">
        <f t="shared" si="861"/>
        <v>0</v>
      </c>
      <c r="P252" s="62">
        <f t="shared" si="830"/>
        <v>66.249497989943649</v>
      </c>
      <c r="Q252" s="62">
        <f t="shared" si="866"/>
        <v>4</v>
      </c>
      <c r="R252" s="49">
        <f t="shared" si="832"/>
        <v>80.690489988135113</v>
      </c>
      <c r="S252" s="49">
        <f t="shared" si="833"/>
        <v>36.055185498537575</v>
      </c>
      <c r="T252" s="49">
        <f t="shared" si="862"/>
        <v>0</v>
      </c>
      <c r="U252" s="61">
        <f t="shared" si="838"/>
        <v>-8.1639787898430427</v>
      </c>
      <c r="V252" s="61">
        <f t="shared" si="839"/>
        <v>8.1639787898430427</v>
      </c>
      <c r="W252" s="59"/>
      <c r="X252" s="59"/>
      <c r="Y252" s="59"/>
      <c r="Z252" s="59"/>
      <c r="AA252" s="59"/>
      <c r="AB252" s="59"/>
      <c r="AC252" s="59"/>
      <c r="AD252" s="59"/>
      <c r="AE252" s="59"/>
      <c r="AF252" s="59"/>
      <c r="AG252" s="128">
        <f t="shared" si="840"/>
        <v>-4</v>
      </c>
      <c r="AH252" s="128">
        <f t="shared" si="841"/>
        <v>-3.6389722525910457</v>
      </c>
      <c r="AI252" s="128">
        <f t="shared" si="842"/>
        <v>3.6389722525910386</v>
      </c>
      <c r="AJ252" s="128">
        <f t="shared" si="835"/>
        <v>0</v>
      </c>
      <c r="AK252" s="128">
        <f t="shared" si="843"/>
        <v>-8.1639787898430427</v>
      </c>
      <c r="AL252" s="61">
        <f t="shared" si="844"/>
        <v>8.1639787898430427</v>
      </c>
    </row>
    <row r="253" spans="1:38">
      <c r="A253" s="59"/>
      <c r="B253" s="140">
        <f t="shared" ref="B253" si="871">B248-5*B241</f>
        <v>183</v>
      </c>
      <c r="C253" s="18">
        <f t="shared" si="864"/>
        <v>162.89629500000001</v>
      </c>
      <c r="D253" s="140">
        <f t="shared" ref="D253:E253" si="872">D248-5*D241</f>
        <v>30</v>
      </c>
      <c r="E253" s="140">
        <f t="shared" si="872"/>
        <v>88</v>
      </c>
      <c r="F253" s="63">
        <f>D253+2*SQRT((E253+2)^2-P253^2)</f>
        <v>149.62449615527021</v>
      </c>
      <c r="G253" s="63">
        <f t="shared" si="856"/>
        <v>30.375503844729792</v>
      </c>
      <c r="H253" s="63">
        <f>H248-5*H241</f>
        <v>-5</v>
      </c>
      <c r="I253" s="9">
        <f>DEGREES(ASIN((P253)/(E253+2)))</f>
        <v>48.34984683477493</v>
      </c>
      <c r="J253" s="9">
        <f t="shared" si="825"/>
        <v>111.11035954545257</v>
      </c>
      <c r="K253" s="9">
        <f t="shared" si="858"/>
        <v>62.760512710677638</v>
      </c>
      <c r="L253" s="59"/>
      <c r="M253" s="44">
        <f t="shared" si="859"/>
        <v>-4.5881041420951405</v>
      </c>
      <c r="N253" s="44">
        <f t="shared" si="860"/>
        <v>4.5881041420951334</v>
      </c>
      <c r="O253" s="44">
        <f t="shared" si="861"/>
        <v>0</v>
      </c>
      <c r="P253" s="62">
        <f>P$248-H253</f>
        <v>67.249497989943649</v>
      </c>
      <c r="Q253" s="62">
        <f t="shared" si="866"/>
        <v>5</v>
      </c>
      <c r="R253" s="49">
        <f t="shared" si="832"/>
        <v>80.01910240869266</v>
      </c>
      <c r="S253" s="49">
        <f t="shared" si="833"/>
        <v>33.618277041727978</v>
      </c>
      <c r="T253" s="49">
        <f t="shared" si="862"/>
        <v>0</v>
      </c>
      <c r="U253" s="61">
        <f t="shared" si="838"/>
        <v>-10.375503844729792</v>
      </c>
      <c r="V253" s="61">
        <f t="shared" si="839"/>
        <v>10.375503844729792</v>
      </c>
      <c r="W253" s="59"/>
      <c r="X253" s="59"/>
      <c r="Y253" s="59"/>
      <c r="Z253" s="59"/>
      <c r="AA253" s="59"/>
      <c r="AB253" s="59"/>
      <c r="AC253" s="59"/>
      <c r="AD253" s="59"/>
      <c r="AE253" s="59"/>
      <c r="AF253" s="59"/>
      <c r="AG253" s="128">
        <f t="shared" si="840"/>
        <v>-5</v>
      </c>
      <c r="AH253" s="128">
        <f t="shared" si="841"/>
        <v>-4.5881041420951405</v>
      </c>
      <c r="AI253" s="128">
        <f t="shared" si="842"/>
        <v>4.5881041420951334</v>
      </c>
      <c r="AJ253" s="128">
        <f t="shared" si="835"/>
        <v>0</v>
      </c>
      <c r="AK253" s="128">
        <f t="shared" si="843"/>
        <v>-10.375503844729792</v>
      </c>
      <c r="AL253" s="61">
        <f t="shared" si="844"/>
        <v>10.375503844729792</v>
      </c>
    </row>
    <row r="254" spans="1:38">
      <c r="A254" s="12"/>
      <c r="B254" s="5"/>
      <c r="C254" s="19" t="s">
        <v>24</v>
      </c>
      <c r="D254" s="13"/>
      <c r="E254" s="13"/>
      <c r="F254" s="13"/>
      <c r="G254" s="13"/>
      <c r="H254" s="13"/>
      <c r="I254" s="13"/>
      <c r="J254" s="13"/>
      <c r="K254" s="12"/>
      <c r="L254" s="12"/>
      <c r="M254" s="108"/>
      <c r="N254" s="108"/>
      <c r="O254" s="108"/>
      <c r="P254" s="13"/>
      <c r="Q254" s="45"/>
      <c r="R254" s="108"/>
      <c r="S254" s="108"/>
      <c r="T254" s="13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31"/>
      <c r="AH254" s="132"/>
      <c r="AI254" s="132"/>
      <c r="AJ254" s="132"/>
      <c r="AK254" s="131"/>
    </row>
    <row r="255" spans="1:38" ht="18.75">
      <c r="A255" s="15" t="s">
        <v>123</v>
      </c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  <c r="X255" s="59"/>
      <c r="Y255" s="59"/>
      <c r="Z255" s="59"/>
      <c r="AA255" s="59"/>
      <c r="AB255" s="59"/>
      <c r="AC255" s="59"/>
      <c r="AD255" s="59"/>
      <c r="AE255" s="59"/>
      <c r="AF255" s="59"/>
      <c r="AG255" s="59"/>
      <c r="AH255" s="59"/>
      <c r="AI255" s="59"/>
      <c r="AJ255" s="59"/>
      <c r="AK255" s="59"/>
    </row>
    <row r="256" spans="1:38">
      <c r="A256" s="20"/>
      <c r="B256" s="20"/>
      <c r="C256" s="20"/>
      <c r="D256" s="20"/>
      <c r="E256" s="20"/>
      <c r="F256" s="20"/>
      <c r="G256" s="59"/>
      <c r="H256" s="59"/>
      <c r="I256" s="59"/>
      <c r="J256" s="59"/>
      <c r="K256" s="59"/>
      <c r="L256" s="59"/>
      <c r="M256" s="236" t="s">
        <v>14</v>
      </c>
      <c r="N256" s="237"/>
      <c r="O256" s="59"/>
      <c r="P256" s="59"/>
      <c r="Q256" s="59"/>
      <c r="R256" s="59"/>
      <c r="S256" s="59"/>
      <c r="T256" s="59"/>
      <c r="U256" s="59"/>
      <c r="V256" s="5"/>
      <c r="W256" s="59"/>
      <c r="X256" s="59"/>
      <c r="Y256" s="59"/>
      <c r="Z256" s="59"/>
      <c r="AA256" s="59"/>
      <c r="AB256" s="59"/>
      <c r="AC256" s="59"/>
      <c r="AD256" s="59"/>
      <c r="AE256" s="59"/>
      <c r="AF256" s="59"/>
      <c r="AG256" s="35"/>
      <c r="AH256" s="35"/>
      <c r="AI256" s="35"/>
      <c r="AJ256" s="35"/>
      <c r="AK256" s="35"/>
    </row>
    <row r="257" spans="1:45" ht="135">
      <c r="A257" s="27"/>
      <c r="B257" s="28" t="s">
        <v>12</v>
      </c>
      <c r="C257" s="28" t="s">
        <v>8</v>
      </c>
      <c r="D257" s="65" t="s">
        <v>42</v>
      </c>
      <c r="E257" s="28" t="s">
        <v>3</v>
      </c>
      <c r="F257" s="28" t="s">
        <v>4</v>
      </c>
      <c r="G257" s="28" t="s">
        <v>41</v>
      </c>
      <c r="H257" s="65" t="s">
        <v>1</v>
      </c>
      <c r="I257" s="65" t="s">
        <v>6</v>
      </c>
      <c r="J257" s="65" t="s">
        <v>5</v>
      </c>
      <c r="K257" s="66" t="s">
        <v>20</v>
      </c>
      <c r="L257" s="31" t="s">
        <v>49</v>
      </c>
      <c r="M257" s="31" t="s">
        <v>112</v>
      </c>
      <c r="N257" s="28" t="s">
        <v>18</v>
      </c>
      <c r="O257" s="28" t="s">
        <v>19</v>
      </c>
      <c r="P257" s="32" t="s">
        <v>25</v>
      </c>
      <c r="Q257" s="28" t="s">
        <v>27</v>
      </c>
      <c r="R257" s="67" t="s">
        <v>26</v>
      </c>
      <c r="S257" s="28" t="s">
        <v>28</v>
      </c>
      <c r="T257" s="28" t="s">
        <v>33</v>
      </c>
      <c r="U257" s="28" t="s">
        <v>34</v>
      </c>
      <c r="V257" s="28" t="s">
        <v>30</v>
      </c>
      <c r="W257" s="28" t="s">
        <v>43</v>
      </c>
      <c r="X257" s="65" t="s">
        <v>29</v>
      </c>
      <c r="Y257" s="28" t="s">
        <v>32</v>
      </c>
      <c r="Z257" s="66" t="s">
        <v>31</v>
      </c>
      <c r="AA257" s="66" t="s">
        <v>35</v>
      </c>
      <c r="AB257" s="28" t="s">
        <v>36</v>
      </c>
      <c r="AC257" s="66" t="s">
        <v>37</v>
      </c>
      <c r="AD257" s="66" t="s">
        <v>48</v>
      </c>
      <c r="AE257" s="68" t="s">
        <v>38</v>
      </c>
      <c r="AF257" s="35"/>
      <c r="AG257" s="133" t="str">
        <f>H242</f>
        <v>Stretcher movement to stern (cm)</v>
      </c>
      <c r="AH257" s="28" t="s">
        <v>113</v>
      </c>
      <c r="AI257" s="28" t="s">
        <v>114</v>
      </c>
      <c r="AJ257" s="28" t="s">
        <v>115</v>
      </c>
      <c r="AK257" s="28" t="str">
        <f>U242</f>
        <v>Change in span (cm)</v>
      </c>
      <c r="AL257" s="157" t="str">
        <f>V242</f>
        <v>change in overlap (cm)</v>
      </c>
      <c r="AS257" s="136" t="s">
        <v>170</v>
      </c>
    </row>
    <row r="258" spans="1:45">
      <c r="A258" s="5"/>
      <c r="B258" s="20">
        <f>B243</f>
        <v>183</v>
      </c>
      <c r="C258" s="18">
        <f t="shared" ref="C258:C262" si="873">100*(0.297865*B258/100+1.08387)</f>
        <v>162.89629500000001</v>
      </c>
      <c r="D258" s="63">
        <f>D243</f>
        <v>30</v>
      </c>
      <c r="E258" s="63">
        <f t="shared" ref="E258:G258" si="874">E243</f>
        <v>88</v>
      </c>
      <c r="F258" s="63">
        <f t="shared" si="874"/>
        <v>168.8883721540351</v>
      </c>
      <c r="G258" s="63">
        <f t="shared" si="874"/>
        <v>11.111627845964904</v>
      </c>
      <c r="H258" s="146">
        <f t="shared" ref="H258:H262" si="875">DEGREES(ACOS((F258-D258)/2/(E258+2)))</f>
        <v>39.50202810961899</v>
      </c>
      <c r="I258" s="20"/>
      <c r="J258" s="63"/>
      <c r="K258" s="69">
        <f t="shared" ref="K258:K262" si="876">H258-H$263</f>
        <v>-4.2597145830608056</v>
      </c>
      <c r="L258" s="63">
        <f>P243</f>
        <v>57.249497989943649</v>
      </c>
      <c r="M258" s="41">
        <f t="shared" ref="M258:M262" si="877">L258-L$263</f>
        <v>-5</v>
      </c>
      <c r="N258" s="61"/>
      <c r="O258" s="61"/>
      <c r="P258" s="23">
        <f t="shared" ref="P258:P261" si="878">P$263</f>
        <v>1</v>
      </c>
      <c r="Q258" s="20">
        <f t="shared" ref="Q258:Q268" si="879">B258 *P258</f>
        <v>183</v>
      </c>
      <c r="R258" s="23">
        <f t="shared" ref="R258:R261" si="880">R$263</f>
        <v>0.25</v>
      </c>
      <c r="S258" s="61">
        <f>Q258*R258</f>
        <v>45.75</v>
      </c>
      <c r="T258" s="61">
        <f>S258/2</f>
        <v>22.875</v>
      </c>
      <c r="U258" s="61">
        <f t="shared" ref="U258:U268" si="881">F258/2 -S258/2</f>
        <v>61.569186077017548</v>
      </c>
      <c r="V258" s="61"/>
      <c r="W258" s="61">
        <f t="shared" ref="W258:W262" si="882">COS(RADIANS(17))*((Q258-S258)/2 -8)</f>
        <v>57.975975830259024</v>
      </c>
      <c r="X258" s="61">
        <f t="shared" ref="X258:X261" si="883">X$263-M258</f>
        <v>34.610828964718017</v>
      </c>
      <c r="Y258" s="61">
        <f>SQRT(X258*X258+U258*U258)</f>
        <v>70.630546902961015</v>
      </c>
      <c r="Z258" s="69">
        <f>DEGREES(ASIN(X258/Y258))</f>
        <v>29.342313375143522</v>
      </c>
      <c r="AA258" s="69">
        <f t="shared" ref="AA258:AA268" si="884">DEGREES(ACOS(((E258+2)*(E258+2)+(Y258*Y258)-(W258*W258))/(2*(E258+2)*(Y258))))</f>
        <v>40.081571977711725</v>
      </c>
      <c r="AB258" s="4">
        <f t="shared" ref="AB258:AB268" si="885">Z258+AA258</f>
        <v>69.423885352855251</v>
      </c>
      <c r="AC258" s="70">
        <f t="shared" ref="AC258:AC262" si="886">AB258-AB$263</f>
        <v>2.0752685000824584</v>
      </c>
      <c r="AD258" s="69">
        <f>AB258+H258</f>
        <v>108.92591346247424</v>
      </c>
      <c r="AE258" s="71">
        <f t="shared" ref="AE258:AE262" si="887">H258+AB258-I$263</f>
        <v>-2.1844460829783259</v>
      </c>
      <c r="AF258" s="59"/>
      <c r="AG258" s="128">
        <f>H243</f>
        <v>5</v>
      </c>
      <c r="AH258" s="128">
        <f t="shared" ref="AH258:AH268" si="888">AC258</f>
        <v>2.0752685000824584</v>
      </c>
      <c r="AI258" s="128">
        <f>K258</f>
        <v>-4.2597145830608056</v>
      </c>
      <c r="AJ258" s="128">
        <f t="shared" ref="AJ258:AJ268" si="889">AE258</f>
        <v>-2.1844460829783259</v>
      </c>
      <c r="AK258" s="128">
        <f>U243</f>
        <v>8.8883721540350962</v>
      </c>
      <c r="AL258" s="61">
        <f>V243</f>
        <v>-8.8883721540350962</v>
      </c>
      <c r="AS258" s="61">
        <f t="shared" ref="AS258:AS268" si="890">L258+X258</f>
        <v>91.860326954661673</v>
      </c>
    </row>
    <row r="259" spans="1:45">
      <c r="A259" s="59"/>
      <c r="B259" s="20">
        <f t="shared" ref="B259:B268" si="891">B244</f>
        <v>183</v>
      </c>
      <c r="C259" s="18">
        <f t="shared" si="873"/>
        <v>162.89629500000001</v>
      </c>
      <c r="D259" s="63">
        <f t="shared" ref="D259:G259" si="892">D244</f>
        <v>30</v>
      </c>
      <c r="E259" s="63">
        <f t="shared" si="892"/>
        <v>88</v>
      </c>
      <c r="F259" s="63">
        <f t="shared" si="892"/>
        <v>167.21510097535986</v>
      </c>
      <c r="G259" s="63">
        <f t="shared" si="892"/>
        <v>12.78489902464014</v>
      </c>
      <c r="H259" s="146">
        <f t="shared" si="875"/>
        <v>40.332076015646237</v>
      </c>
      <c r="I259" s="20"/>
      <c r="J259" s="63"/>
      <c r="K259" s="69">
        <f t="shared" si="876"/>
        <v>-3.4296666770335591</v>
      </c>
      <c r="L259" s="63">
        <f t="shared" ref="L259:L268" si="893">P244</f>
        <v>58.249497989943649</v>
      </c>
      <c r="M259" s="41">
        <f t="shared" si="877"/>
        <v>-4</v>
      </c>
      <c r="N259" s="61"/>
      <c r="O259" s="61"/>
      <c r="P259" s="23">
        <f t="shared" si="878"/>
        <v>1</v>
      </c>
      <c r="Q259" s="20">
        <f t="shared" si="879"/>
        <v>183</v>
      </c>
      <c r="R259" s="23">
        <f t="shared" si="880"/>
        <v>0.25</v>
      </c>
      <c r="S259" s="61">
        <f>Q259*R259</f>
        <v>45.75</v>
      </c>
      <c r="T259" s="61">
        <f>S259/2</f>
        <v>22.875</v>
      </c>
      <c r="U259" s="61">
        <f t="shared" si="881"/>
        <v>60.73255048767993</v>
      </c>
      <c r="V259" s="61"/>
      <c r="W259" s="61">
        <f t="shared" si="882"/>
        <v>57.975975830259024</v>
      </c>
      <c r="X259" s="61">
        <f t="shared" si="883"/>
        <v>33.610828964718017</v>
      </c>
      <c r="Y259" s="61">
        <f>SQRT(X259*X259+U259*U259)</f>
        <v>69.412754681212007</v>
      </c>
      <c r="Z259" s="69">
        <f>DEGREES(ASIN(X259/Y259))</f>
        <v>28.961178630174444</v>
      </c>
      <c r="AA259" s="69">
        <f t="shared" si="884"/>
        <v>40.101691108999034</v>
      </c>
      <c r="AB259" s="4">
        <f t="shared" si="885"/>
        <v>69.062869739173479</v>
      </c>
      <c r="AC259" s="70">
        <f t="shared" si="886"/>
        <v>1.7142528864006863</v>
      </c>
      <c r="AD259" s="69">
        <f t="shared" ref="AD259:AD268" si="894">AB259+H259</f>
        <v>109.39494575481972</v>
      </c>
      <c r="AE259" s="71">
        <f t="shared" si="887"/>
        <v>-1.7154137906328515</v>
      </c>
      <c r="AF259" s="59"/>
      <c r="AG259" s="128">
        <f t="shared" ref="AG259:AG268" si="895">H244</f>
        <v>4</v>
      </c>
      <c r="AH259" s="128">
        <f t="shared" si="888"/>
        <v>1.7142528864006863</v>
      </c>
      <c r="AI259" s="128">
        <f t="shared" ref="AI259:AI268" si="896">K259</f>
        <v>-3.4296666770335591</v>
      </c>
      <c r="AJ259" s="128">
        <f t="shared" si="889"/>
        <v>-1.7154137906328515</v>
      </c>
      <c r="AK259" s="128">
        <f t="shared" ref="AK259:AK268" si="897">U244</f>
        <v>7.2151009753598601</v>
      </c>
      <c r="AL259" s="61">
        <f t="shared" ref="AL259:AL268" si="898">V244</f>
        <v>-7.2151009753598601</v>
      </c>
      <c r="AS259" s="61">
        <f t="shared" si="890"/>
        <v>91.860326954661673</v>
      </c>
    </row>
    <row r="260" spans="1:45">
      <c r="A260" s="59"/>
      <c r="B260" s="20">
        <f t="shared" si="891"/>
        <v>183</v>
      </c>
      <c r="C260" s="18">
        <f t="shared" si="873"/>
        <v>162.89629500000001</v>
      </c>
      <c r="D260" s="63">
        <f t="shared" ref="D260:G260" si="899">D245</f>
        <v>30</v>
      </c>
      <c r="E260" s="63">
        <f t="shared" si="899"/>
        <v>88</v>
      </c>
      <c r="F260" s="63">
        <f t="shared" si="899"/>
        <v>165.49165270140685</v>
      </c>
      <c r="G260" s="63">
        <f t="shared" si="899"/>
        <v>14.508347298593151</v>
      </c>
      <c r="H260" s="146">
        <f t="shared" si="875"/>
        <v>41.172462277288695</v>
      </c>
      <c r="I260" s="20"/>
      <c r="J260" s="63"/>
      <c r="K260" s="69">
        <f t="shared" si="876"/>
        <v>-2.5892804153911015</v>
      </c>
      <c r="L260" s="63">
        <f t="shared" si="893"/>
        <v>59.249497989943649</v>
      </c>
      <c r="M260" s="41">
        <f t="shared" si="877"/>
        <v>-3</v>
      </c>
      <c r="N260" s="61"/>
      <c r="O260" s="61"/>
      <c r="P260" s="23">
        <f t="shared" si="878"/>
        <v>1</v>
      </c>
      <c r="Q260" s="20">
        <f t="shared" si="879"/>
        <v>183</v>
      </c>
      <c r="R260" s="23">
        <f t="shared" si="880"/>
        <v>0.25</v>
      </c>
      <c r="S260" s="61">
        <f t="shared" ref="S260:S262" si="900">Q260*R260</f>
        <v>45.75</v>
      </c>
      <c r="T260" s="61">
        <f t="shared" ref="T260:T262" si="901">S260/2</f>
        <v>22.875</v>
      </c>
      <c r="U260" s="61">
        <f t="shared" si="881"/>
        <v>59.870826350703425</v>
      </c>
      <c r="V260" s="61"/>
      <c r="W260" s="61">
        <f t="shared" si="882"/>
        <v>57.975975830259024</v>
      </c>
      <c r="X260" s="61">
        <f t="shared" si="883"/>
        <v>32.610828964718017</v>
      </c>
      <c r="Y260" s="61">
        <f>SQRT(X260*X260+U260*U260)</f>
        <v>68.176110285657799</v>
      </c>
      <c r="Z260" s="69">
        <f>DEGREES(ASIN(X260/Y260))</f>
        <v>28.576532049880957</v>
      </c>
      <c r="AA260" s="69">
        <f t="shared" si="884"/>
        <v>40.100852430062432</v>
      </c>
      <c r="AB260" s="4">
        <f t="shared" si="885"/>
        <v>68.677384479943385</v>
      </c>
      <c r="AC260" s="70">
        <f t="shared" si="886"/>
        <v>1.3287676271705919</v>
      </c>
      <c r="AD260" s="69">
        <f t="shared" si="894"/>
        <v>109.84984675723209</v>
      </c>
      <c r="AE260" s="71">
        <f t="shared" si="887"/>
        <v>-1.2605127882204812</v>
      </c>
      <c r="AF260" s="59"/>
      <c r="AG260" s="128">
        <f t="shared" si="895"/>
        <v>3</v>
      </c>
      <c r="AH260" s="128">
        <f t="shared" si="888"/>
        <v>1.3287676271705919</v>
      </c>
      <c r="AI260" s="128">
        <f t="shared" si="896"/>
        <v>-2.5892804153911015</v>
      </c>
      <c r="AJ260" s="128">
        <f t="shared" si="889"/>
        <v>-1.2605127882204812</v>
      </c>
      <c r="AK260" s="128">
        <f t="shared" si="897"/>
        <v>5.4916527014068492</v>
      </c>
      <c r="AL260" s="61">
        <f t="shared" si="898"/>
        <v>-5.4916527014068492</v>
      </c>
      <c r="AS260" s="61">
        <f t="shared" si="890"/>
        <v>91.860326954661673</v>
      </c>
    </row>
    <row r="261" spans="1:45">
      <c r="A261" s="59"/>
      <c r="B261" s="20">
        <f t="shared" si="891"/>
        <v>183</v>
      </c>
      <c r="C261" s="18">
        <f t="shared" si="873"/>
        <v>162.89629500000001</v>
      </c>
      <c r="D261" s="63">
        <f t="shared" ref="D261:G261" si="902">D246</f>
        <v>30</v>
      </c>
      <c r="E261" s="63">
        <f t="shared" si="902"/>
        <v>88</v>
      </c>
      <c r="F261" s="63">
        <f t="shared" si="902"/>
        <v>163.71608716919258</v>
      </c>
      <c r="G261" s="63">
        <f t="shared" si="902"/>
        <v>16.283912830807424</v>
      </c>
      <c r="H261" s="146">
        <f t="shared" si="875"/>
        <v>42.023771016995411</v>
      </c>
      <c r="I261" s="20"/>
      <c r="J261" s="63"/>
      <c r="K261" s="69">
        <f t="shared" si="876"/>
        <v>-1.7379716756843848</v>
      </c>
      <c r="L261" s="63">
        <f t="shared" si="893"/>
        <v>60.249497989943649</v>
      </c>
      <c r="M261" s="41">
        <f t="shared" si="877"/>
        <v>-2</v>
      </c>
      <c r="N261" s="61"/>
      <c r="O261" s="61"/>
      <c r="P261" s="23">
        <f t="shared" si="878"/>
        <v>1</v>
      </c>
      <c r="Q261" s="20">
        <f t="shared" si="879"/>
        <v>183</v>
      </c>
      <c r="R261" s="23">
        <f t="shared" si="880"/>
        <v>0.25</v>
      </c>
      <c r="S261" s="61">
        <f t="shared" si="900"/>
        <v>45.75</v>
      </c>
      <c r="T261" s="61">
        <f t="shared" si="901"/>
        <v>22.875</v>
      </c>
      <c r="U261" s="61">
        <f t="shared" si="881"/>
        <v>58.983043584596288</v>
      </c>
      <c r="V261" s="61"/>
      <c r="W261" s="61">
        <f t="shared" si="882"/>
        <v>57.975975830259024</v>
      </c>
      <c r="X261" s="61">
        <f t="shared" si="883"/>
        <v>31.610828964718017</v>
      </c>
      <c r="Y261" s="61">
        <f t="shared" ref="Y261:Y262" si="903">SQRT(X261*X261+U261*U261)</f>
        <v>66.919682742366916</v>
      </c>
      <c r="Z261" s="69">
        <f t="shared" ref="Z261:Z262" si="904">DEGREES(ASIN(X261/Y261))</f>
        <v>28.188227706869309</v>
      </c>
      <c r="AA261" s="69">
        <f t="shared" si="884"/>
        <v>40.07683175128431</v>
      </c>
      <c r="AB261" s="4">
        <f t="shared" si="885"/>
        <v>68.265059458153615</v>
      </c>
      <c r="AC261" s="70">
        <f t="shared" si="886"/>
        <v>0.91644260538082278</v>
      </c>
      <c r="AD261" s="69">
        <f t="shared" si="894"/>
        <v>110.28883047514903</v>
      </c>
      <c r="AE261" s="71">
        <f t="shared" si="887"/>
        <v>-0.82152907030354072</v>
      </c>
      <c r="AF261" s="59"/>
      <c r="AG261" s="128">
        <f t="shared" si="895"/>
        <v>2</v>
      </c>
      <c r="AH261" s="128">
        <f t="shared" si="888"/>
        <v>0.91644260538082278</v>
      </c>
      <c r="AI261" s="128">
        <f t="shared" si="896"/>
        <v>-1.7379716756843848</v>
      </c>
      <c r="AJ261" s="128">
        <f t="shared" si="889"/>
        <v>-0.82152907030354072</v>
      </c>
      <c r="AK261" s="128">
        <f t="shared" si="897"/>
        <v>3.7160871691925763</v>
      </c>
      <c r="AL261" s="61">
        <f t="shared" si="898"/>
        <v>-3.7160871691925763</v>
      </c>
      <c r="AS261" s="61">
        <f t="shared" si="890"/>
        <v>91.860326954661673</v>
      </c>
    </row>
    <row r="262" spans="1:45">
      <c r="A262" s="59"/>
      <c r="B262" s="20">
        <f t="shared" si="891"/>
        <v>183</v>
      </c>
      <c r="C262" s="18">
        <f t="shared" si="873"/>
        <v>162.89629500000001</v>
      </c>
      <c r="D262" s="63">
        <f t="shared" ref="D262:G262" si="905">D247</f>
        <v>30</v>
      </c>
      <c r="E262" s="63">
        <f t="shared" si="905"/>
        <v>88</v>
      </c>
      <c r="F262" s="63">
        <f t="shared" si="905"/>
        <v>161.88629945494552</v>
      </c>
      <c r="G262" s="63">
        <f t="shared" si="905"/>
        <v>18.113700545054485</v>
      </c>
      <c r="H262" s="146">
        <f t="shared" si="875"/>
        <v>42.886635200642814</v>
      </c>
      <c r="I262" s="20"/>
      <c r="J262" s="63"/>
      <c r="K262" s="69">
        <f t="shared" si="876"/>
        <v>-0.87510749203698168</v>
      </c>
      <c r="L262" s="63">
        <f t="shared" si="893"/>
        <v>61.249497989943649</v>
      </c>
      <c r="M262" s="41">
        <f t="shared" si="877"/>
        <v>-1</v>
      </c>
      <c r="N262" s="61"/>
      <c r="O262" s="61"/>
      <c r="P262" s="23">
        <f>P$263</f>
        <v>1</v>
      </c>
      <c r="Q262" s="20">
        <f t="shared" si="879"/>
        <v>183</v>
      </c>
      <c r="R262" s="23">
        <f>R$263</f>
        <v>0.25</v>
      </c>
      <c r="S262" s="61">
        <f t="shared" si="900"/>
        <v>45.75</v>
      </c>
      <c r="T262" s="61">
        <f t="shared" si="901"/>
        <v>22.875</v>
      </c>
      <c r="U262" s="61">
        <f t="shared" si="881"/>
        <v>58.068149727472758</v>
      </c>
      <c r="V262" s="61"/>
      <c r="W262" s="61">
        <f t="shared" si="882"/>
        <v>57.975975830259024</v>
      </c>
      <c r="X262" s="61">
        <f>X$263-M262</f>
        <v>30.610828964718017</v>
      </c>
      <c r="Y262" s="61">
        <f t="shared" si="903"/>
        <v>65.642462344730902</v>
      </c>
      <c r="Z262" s="69">
        <f t="shared" si="904"/>
        <v>27.796113805179196</v>
      </c>
      <c r="AA262" s="69">
        <f t="shared" si="884"/>
        <v>40.02706561517094</v>
      </c>
      <c r="AB262" s="4">
        <f t="shared" si="885"/>
        <v>67.823179420350129</v>
      </c>
      <c r="AC262" s="70">
        <f t="shared" si="886"/>
        <v>0.47456256757733684</v>
      </c>
      <c r="AD262" s="69">
        <f t="shared" si="894"/>
        <v>110.70981462099294</v>
      </c>
      <c r="AE262" s="71">
        <f t="shared" si="887"/>
        <v>-0.40054492445962353</v>
      </c>
      <c r="AF262" s="59"/>
      <c r="AG262" s="128">
        <f t="shared" si="895"/>
        <v>1</v>
      </c>
      <c r="AH262" s="128">
        <f t="shared" si="888"/>
        <v>0.47456256757733684</v>
      </c>
      <c r="AI262" s="128">
        <f t="shared" si="896"/>
        <v>-0.87510749203698168</v>
      </c>
      <c r="AJ262" s="128">
        <f t="shared" si="889"/>
        <v>-0.40054492445962353</v>
      </c>
      <c r="AK262" s="128">
        <f t="shared" si="897"/>
        <v>1.8862994549455152</v>
      </c>
      <c r="AL262" s="61">
        <f t="shared" si="898"/>
        <v>-1.8862994549455152</v>
      </c>
      <c r="AS262" s="61">
        <f t="shared" si="890"/>
        <v>91.860326954661673</v>
      </c>
    </row>
    <row r="263" spans="1:45">
      <c r="A263" s="15"/>
      <c r="B263" s="20">
        <f t="shared" si="891"/>
        <v>183</v>
      </c>
      <c r="C263" s="37">
        <f>100*(0.297865*B263/100+1.08387)</f>
        <v>162.89629500000001</v>
      </c>
      <c r="D263" s="63">
        <f t="shared" ref="D263:G263" si="906">D248</f>
        <v>30</v>
      </c>
      <c r="E263" s="63">
        <f t="shared" si="906"/>
        <v>88</v>
      </c>
      <c r="F263" s="63">
        <f t="shared" si="906"/>
        <v>160</v>
      </c>
      <c r="G263" s="63">
        <f t="shared" si="906"/>
        <v>20</v>
      </c>
      <c r="H263" s="146">
        <f>DEGREES(ACOS((F263-D263)/2/(E263+2)))</f>
        <v>43.761742692679796</v>
      </c>
      <c r="I263" s="120">
        <f>DEGREES(C263/(E263-6+2))</f>
        <v>111.11035954545257</v>
      </c>
      <c r="J263" s="40">
        <f>I263-H263</f>
        <v>67.348616852772778</v>
      </c>
      <c r="K263" s="69">
        <f>H263-H$263</f>
        <v>0</v>
      </c>
      <c r="L263" s="63">
        <f t="shared" si="893"/>
        <v>62.249497989943649</v>
      </c>
      <c r="M263" s="41">
        <f>L263-L$263</f>
        <v>0</v>
      </c>
      <c r="N263" s="39">
        <f>(E263+2)*SIN(RADIANS(J263))</f>
        <v>83.057868711361749</v>
      </c>
      <c r="O263" s="39">
        <f>(F263/2)- (E263+2)*COS(RADIANS(J263))</f>
        <v>45.338920312168661</v>
      </c>
      <c r="P263" s="42">
        <v>1</v>
      </c>
      <c r="Q263" s="43">
        <f t="shared" si="879"/>
        <v>183</v>
      </c>
      <c r="R263" s="42">
        <v>0.25</v>
      </c>
      <c r="S263" s="39">
        <f>Q263*R263</f>
        <v>45.75</v>
      </c>
      <c r="T263" s="39">
        <f>S263/2</f>
        <v>22.875</v>
      </c>
      <c r="U263" s="39">
        <f t="shared" si="881"/>
        <v>57.125</v>
      </c>
      <c r="V263" s="39">
        <f>O263-T263</f>
        <v>22.463920312168661</v>
      </c>
      <c r="W263" s="39">
        <f>COS(RADIANS(17))*((Q263-S263)/2-8)</f>
        <v>57.975975830259024</v>
      </c>
      <c r="X263" s="40">
        <f xml:space="preserve"> N263- SQRT(W263*W263-V263*V263)</f>
        <v>29.610828964718017</v>
      </c>
      <c r="Y263" s="39">
        <f>SQRT(X263*X263+U263*U263)</f>
        <v>64.343350992762126</v>
      </c>
      <c r="Z263" s="70">
        <f>DEGREES(ASIN(X263/Y263))</f>
        <v>27.400032783288204</v>
      </c>
      <c r="AA263" s="70">
        <f t="shared" si="884"/>
        <v>39.948584069484589</v>
      </c>
      <c r="AB263" s="52">
        <f t="shared" si="885"/>
        <v>67.348616852772793</v>
      </c>
      <c r="AC263" s="70">
        <f>AB263-AB$263</f>
        <v>0</v>
      </c>
      <c r="AD263" s="70">
        <f t="shared" si="894"/>
        <v>111.11035954545258</v>
      </c>
      <c r="AE263" s="71">
        <f>H263+AB263-I$263</f>
        <v>0</v>
      </c>
      <c r="AF263" s="15"/>
      <c r="AG263" s="128">
        <f t="shared" si="895"/>
        <v>0</v>
      </c>
      <c r="AH263" s="128">
        <f t="shared" si="888"/>
        <v>0</v>
      </c>
      <c r="AI263" s="128">
        <f t="shared" si="896"/>
        <v>0</v>
      </c>
      <c r="AJ263" s="128">
        <f t="shared" si="889"/>
        <v>0</v>
      </c>
      <c r="AK263" s="128">
        <f t="shared" si="897"/>
        <v>0</v>
      </c>
      <c r="AL263" s="61">
        <f t="shared" si="898"/>
        <v>0</v>
      </c>
      <c r="AS263" s="61">
        <f t="shared" si="890"/>
        <v>91.860326954661673</v>
      </c>
    </row>
    <row r="264" spans="1:45">
      <c r="A264" s="5"/>
      <c r="B264" s="20">
        <f t="shared" si="891"/>
        <v>183</v>
      </c>
      <c r="C264" s="18">
        <f t="shared" ref="C264:C268" si="907">100*(0.297865*B264/100+1.08387)</f>
        <v>162.89629500000001</v>
      </c>
      <c r="D264" s="63">
        <f t="shared" ref="D264:G264" si="908">D249</f>
        <v>30</v>
      </c>
      <c r="E264" s="63">
        <f t="shared" si="908"/>
        <v>88</v>
      </c>
      <c r="F264" s="63">
        <f t="shared" si="908"/>
        <v>158.05469150359332</v>
      </c>
      <c r="G264" s="63">
        <f t="shared" si="908"/>
        <v>21.945308496406682</v>
      </c>
      <c r="H264" s="146">
        <f t="shared" ref="H264:H268" si="909">DEGREES(ACOS((F264-D264)/2/(E264+2)))</f>
        <v>44.649843304592572</v>
      </c>
      <c r="I264" s="20"/>
      <c r="J264" s="63"/>
      <c r="K264" s="69">
        <f t="shared" ref="K264:K268" si="910">H264-H$263</f>
        <v>0.88810061191277612</v>
      </c>
      <c r="L264" s="63">
        <f t="shared" si="893"/>
        <v>63.249497989943649</v>
      </c>
      <c r="M264" s="41">
        <f t="shared" ref="M264:M268" si="911">L264-L$263</f>
        <v>1</v>
      </c>
      <c r="N264" s="61"/>
      <c r="O264" s="61"/>
      <c r="P264" s="23">
        <f t="shared" ref="P264:P267" si="912">P$263</f>
        <v>1</v>
      </c>
      <c r="Q264" s="20">
        <f t="shared" si="879"/>
        <v>183</v>
      </c>
      <c r="R264" s="23">
        <f t="shared" ref="R264:R267" si="913">R$263</f>
        <v>0.25</v>
      </c>
      <c r="S264" s="61">
        <f>Q264*R264</f>
        <v>45.75</v>
      </c>
      <c r="T264" s="61">
        <f>S264/2</f>
        <v>22.875</v>
      </c>
      <c r="U264" s="61">
        <f t="shared" si="881"/>
        <v>56.152345751796659</v>
      </c>
      <c r="V264" s="61"/>
      <c r="W264" s="61">
        <f t="shared" ref="W264:W268" si="914">COS(RADIANS(17))*((Q264-S264)/2 -8)</f>
        <v>57.975975830259024</v>
      </c>
      <c r="X264" s="61">
        <f t="shared" ref="X264:X267" si="915">X$263-M264</f>
        <v>28.610828964718017</v>
      </c>
      <c r="Y264" s="61">
        <f>SQRT(X264*X264+U264*U264)</f>
        <v>63.02115095329237</v>
      </c>
      <c r="Z264" s="69">
        <f>DEGREES(ASIN(X264/Y264))</f>
        <v>26.999821588633445</v>
      </c>
      <c r="AA264" s="69">
        <f t="shared" si="884"/>
        <v>39.837926442379008</v>
      </c>
      <c r="AB264" s="4">
        <f t="shared" si="885"/>
        <v>66.837748031012453</v>
      </c>
      <c r="AC264" s="70">
        <f t="shared" ref="AC264:AC268" si="916">AB264-AB$263</f>
        <v>-0.5108688217603401</v>
      </c>
      <c r="AD264" s="69">
        <f t="shared" si="894"/>
        <v>111.48759133560503</v>
      </c>
      <c r="AE264" s="71">
        <f t="shared" ref="AE264:AE268" si="917">H264+AB264-I$263</f>
        <v>0.37723179015246444</v>
      </c>
      <c r="AF264" s="59"/>
      <c r="AG264" s="128">
        <f t="shared" si="895"/>
        <v>-1</v>
      </c>
      <c r="AH264" s="128">
        <f t="shared" si="888"/>
        <v>-0.5108688217603401</v>
      </c>
      <c r="AI264" s="128">
        <f t="shared" si="896"/>
        <v>0.88810061191277612</v>
      </c>
      <c r="AJ264" s="128">
        <f t="shared" si="889"/>
        <v>0.37723179015246444</v>
      </c>
      <c r="AK264" s="128">
        <f t="shared" si="897"/>
        <v>-1.9453084964066818</v>
      </c>
      <c r="AL264" s="61">
        <f t="shared" si="898"/>
        <v>1.9453084964066818</v>
      </c>
      <c r="AS264" s="61">
        <f t="shared" si="890"/>
        <v>91.860326954661673</v>
      </c>
    </row>
    <row r="265" spans="1:45">
      <c r="A265" s="59"/>
      <c r="B265" s="20">
        <f t="shared" si="891"/>
        <v>183</v>
      </c>
      <c r="C265" s="18">
        <f t="shared" si="907"/>
        <v>162.89629500000001</v>
      </c>
      <c r="D265" s="63">
        <f t="shared" ref="D265:G265" si="918">D250</f>
        <v>30</v>
      </c>
      <c r="E265" s="63">
        <f t="shared" si="918"/>
        <v>88</v>
      </c>
      <c r="F265" s="63">
        <f t="shared" si="918"/>
        <v>156.04764191432105</v>
      </c>
      <c r="G265" s="63">
        <f t="shared" si="918"/>
        <v>23.952358085678952</v>
      </c>
      <c r="H265" s="146">
        <f t="shared" si="909"/>
        <v>45.551757043436339</v>
      </c>
      <c r="I265" s="20"/>
      <c r="J265" s="63"/>
      <c r="K265" s="69">
        <f t="shared" si="910"/>
        <v>1.7900143507565431</v>
      </c>
      <c r="L265" s="63">
        <f t="shared" si="893"/>
        <v>64.249497989943649</v>
      </c>
      <c r="M265" s="41">
        <f t="shared" si="911"/>
        <v>2</v>
      </c>
      <c r="N265" s="61"/>
      <c r="O265" s="61"/>
      <c r="P265" s="23">
        <f t="shared" si="912"/>
        <v>1</v>
      </c>
      <c r="Q265" s="20">
        <f t="shared" si="879"/>
        <v>183</v>
      </c>
      <c r="R265" s="23">
        <f t="shared" si="913"/>
        <v>0.25</v>
      </c>
      <c r="S265" s="61">
        <f>Q265*R265</f>
        <v>45.75</v>
      </c>
      <c r="T265" s="61">
        <f>S265/2</f>
        <v>22.875</v>
      </c>
      <c r="U265" s="61">
        <f t="shared" si="881"/>
        <v>55.148820957160524</v>
      </c>
      <c r="V265" s="61"/>
      <c r="W265" s="61">
        <f t="shared" si="914"/>
        <v>57.975975830259024</v>
      </c>
      <c r="X265" s="61">
        <f t="shared" si="915"/>
        <v>27.610828964718017</v>
      </c>
      <c r="Y265" s="61">
        <f>SQRT(X265*X265+U265*U265)</f>
        <v>61.674551713683819</v>
      </c>
      <c r="Z265" s="69">
        <f>DEGREES(ASIN(X265/Y265))</f>
        <v>26.595312195050695</v>
      </c>
      <c r="AA265" s="69">
        <f t="shared" si="884"/>
        <v>39.691034774259798</v>
      </c>
      <c r="AB265" s="4">
        <f t="shared" si="885"/>
        <v>66.2863469693105</v>
      </c>
      <c r="AC265" s="70">
        <f t="shared" si="916"/>
        <v>-1.0622698834622923</v>
      </c>
      <c r="AD265" s="69">
        <f t="shared" si="894"/>
        <v>111.83810401274684</v>
      </c>
      <c r="AE265" s="71">
        <f t="shared" si="917"/>
        <v>0.72774446729427211</v>
      </c>
      <c r="AF265" s="59"/>
      <c r="AG265" s="128">
        <f t="shared" si="895"/>
        <v>-2</v>
      </c>
      <c r="AH265" s="128">
        <f t="shared" si="888"/>
        <v>-1.0622698834622923</v>
      </c>
      <c r="AI265" s="128">
        <f t="shared" si="896"/>
        <v>1.7900143507565431</v>
      </c>
      <c r="AJ265" s="128">
        <f t="shared" si="889"/>
        <v>0.72774446729427211</v>
      </c>
      <c r="AK265" s="128">
        <f t="shared" si="897"/>
        <v>-3.9523580856789522</v>
      </c>
      <c r="AL265" s="61">
        <f t="shared" si="898"/>
        <v>3.9523580856789522</v>
      </c>
      <c r="AS265" s="61">
        <f t="shared" si="890"/>
        <v>91.860326954661673</v>
      </c>
    </row>
    <row r="266" spans="1:45">
      <c r="A266" s="59"/>
      <c r="B266" s="20">
        <f t="shared" si="891"/>
        <v>183</v>
      </c>
      <c r="C266" s="18">
        <f t="shared" si="907"/>
        <v>162.89629500000001</v>
      </c>
      <c r="D266" s="63">
        <f t="shared" ref="D266:G266" si="919">D251</f>
        <v>30</v>
      </c>
      <c r="E266" s="63">
        <f t="shared" si="919"/>
        <v>88</v>
      </c>
      <c r="F266" s="63">
        <f t="shared" si="919"/>
        <v>153.97585268204998</v>
      </c>
      <c r="G266" s="63">
        <f t="shared" si="919"/>
        <v>26.024147317950025</v>
      </c>
      <c r="H266" s="146">
        <f t="shared" si="909"/>
        <v>46.468383820007695</v>
      </c>
      <c r="I266" s="20"/>
      <c r="J266" s="63"/>
      <c r="K266" s="69">
        <f t="shared" si="910"/>
        <v>2.7066411273278987</v>
      </c>
      <c r="L266" s="63">
        <f t="shared" si="893"/>
        <v>65.249497989943649</v>
      </c>
      <c r="M266" s="41">
        <f t="shared" si="911"/>
        <v>3</v>
      </c>
      <c r="N266" s="61"/>
      <c r="O266" s="61"/>
      <c r="P266" s="23">
        <f t="shared" si="912"/>
        <v>1</v>
      </c>
      <c r="Q266" s="20">
        <f t="shared" si="879"/>
        <v>183</v>
      </c>
      <c r="R266" s="23">
        <f t="shared" si="913"/>
        <v>0.25</v>
      </c>
      <c r="S266" s="61">
        <f t="shared" ref="S266:S268" si="920">Q266*R266</f>
        <v>45.75</v>
      </c>
      <c r="T266" s="61">
        <f t="shared" ref="T266:T268" si="921">S266/2</f>
        <v>22.875</v>
      </c>
      <c r="U266" s="61">
        <f t="shared" si="881"/>
        <v>54.112926341024988</v>
      </c>
      <c r="V266" s="61"/>
      <c r="W266" s="61">
        <f t="shared" si="914"/>
        <v>57.975975830259024</v>
      </c>
      <c r="X266" s="61">
        <f t="shared" si="915"/>
        <v>26.610828964718017</v>
      </c>
      <c r="Y266" s="61">
        <f>SQRT(X266*X266+U266*U266)</f>
        <v>60.30211451830418</v>
      </c>
      <c r="Z266" s="69">
        <f>DEGREES(ASIN(X266/Y266))</f>
        <v>26.186332462920234</v>
      </c>
      <c r="AA266" s="69">
        <f t="shared" si="884"/>
        <v>39.503117504256608</v>
      </c>
      <c r="AB266" s="4">
        <f t="shared" si="885"/>
        <v>65.689449967176841</v>
      </c>
      <c r="AC266" s="70">
        <f t="shared" si="916"/>
        <v>-1.6591668855959512</v>
      </c>
      <c r="AD266" s="69">
        <f t="shared" si="894"/>
        <v>112.15783378718453</v>
      </c>
      <c r="AE266" s="71">
        <f t="shared" si="917"/>
        <v>1.0474742417319618</v>
      </c>
      <c r="AF266" s="59"/>
      <c r="AG266" s="128">
        <f t="shared" si="895"/>
        <v>-3</v>
      </c>
      <c r="AH266" s="128">
        <f t="shared" si="888"/>
        <v>-1.6591668855959512</v>
      </c>
      <c r="AI266" s="128">
        <f t="shared" si="896"/>
        <v>2.7066411273278987</v>
      </c>
      <c r="AJ266" s="128">
        <f t="shared" si="889"/>
        <v>1.0474742417319618</v>
      </c>
      <c r="AK266" s="128">
        <f t="shared" si="897"/>
        <v>-6.0241473179500247</v>
      </c>
      <c r="AL266" s="61">
        <f t="shared" si="898"/>
        <v>6.0241473179500247</v>
      </c>
      <c r="AS266" s="61">
        <f t="shared" si="890"/>
        <v>91.860326954661673</v>
      </c>
    </row>
    <row r="267" spans="1:45">
      <c r="A267" s="59"/>
      <c r="B267" s="20">
        <f t="shared" si="891"/>
        <v>183</v>
      </c>
      <c r="C267" s="18">
        <f t="shared" si="907"/>
        <v>162.89629500000001</v>
      </c>
      <c r="D267" s="63">
        <f t="shared" ref="D267:G267" si="922">D252</f>
        <v>30</v>
      </c>
      <c r="E267" s="63">
        <f t="shared" si="922"/>
        <v>88</v>
      </c>
      <c r="F267" s="63">
        <f t="shared" si="922"/>
        <v>151.83602121015696</v>
      </c>
      <c r="G267" s="63">
        <f t="shared" si="922"/>
        <v>28.163978789843043</v>
      </c>
      <c r="H267" s="146">
        <f t="shared" si="909"/>
        <v>47.400714945270813</v>
      </c>
      <c r="I267" s="20"/>
      <c r="J267" s="63"/>
      <c r="K267" s="69">
        <f t="shared" si="910"/>
        <v>3.6389722525910173</v>
      </c>
      <c r="L267" s="63">
        <f t="shared" si="893"/>
        <v>66.249497989943649</v>
      </c>
      <c r="M267" s="41">
        <f t="shared" si="911"/>
        <v>4</v>
      </c>
      <c r="N267" s="61"/>
      <c r="O267" s="61"/>
      <c r="P267" s="23">
        <f t="shared" si="912"/>
        <v>1</v>
      </c>
      <c r="Q267" s="20">
        <f t="shared" si="879"/>
        <v>183</v>
      </c>
      <c r="R267" s="23">
        <f t="shared" si="913"/>
        <v>0.25</v>
      </c>
      <c r="S267" s="61">
        <f t="shared" si="920"/>
        <v>45.75</v>
      </c>
      <c r="T267" s="61">
        <f t="shared" si="921"/>
        <v>22.875</v>
      </c>
      <c r="U267" s="61">
        <f t="shared" si="881"/>
        <v>53.043010605078479</v>
      </c>
      <c r="V267" s="61"/>
      <c r="W267" s="61">
        <f t="shared" si="914"/>
        <v>57.975975830259024</v>
      </c>
      <c r="X267" s="61">
        <f t="shared" si="915"/>
        <v>25.610828964718017</v>
      </c>
      <c r="Y267" s="61">
        <f t="shared" ref="Y267:Y268" si="923">SQRT(X267*X267+U267*U267)</f>
        <v>58.9022540681637</v>
      </c>
      <c r="Z267" s="69">
        <f t="shared" ref="Z267:Z268" si="924">DEGREES(ASIN(X267/Y267))</f>
        <v>25.772707482366776</v>
      </c>
      <c r="AA267" s="69">
        <f t="shared" si="884"/>
        <v>39.268472995246441</v>
      </c>
      <c r="AB267" s="4">
        <f t="shared" si="885"/>
        <v>65.04118047761321</v>
      </c>
      <c r="AC267" s="70">
        <f t="shared" si="916"/>
        <v>-2.3074363751595826</v>
      </c>
      <c r="AD267" s="69">
        <f t="shared" si="894"/>
        <v>112.44189542288402</v>
      </c>
      <c r="AE267" s="71">
        <f t="shared" si="917"/>
        <v>1.331535877431449</v>
      </c>
      <c r="AF267" s="59"/>
      <c r="AG267" s="128">
        <f t="shared" si="895"/>
        <v>-4</v>
      </c>
      <c r="AH267" s="128">
        <f t="shared" si="888"/>
        <v>-2.3074363751595826</v>
      </c>
      <c r="AI267" s="128">
        <f t="shared" si="896"/>
        <v>3.6389722525910173</v>
      </c>
      <c r="AJ267" s="128">
        <f t="shared" si="889"/>
        <v>1.331535877431449</v>
      </c>
      <c r="AK267" s="128">
        <f t="shared" si="897"/>
        <v>-8.1639787898430427</v>
      </c>
      <c r="AL267" s="61">
        <f t="shared" si="898"/>
        <v>8.1639787898430427</v>
      </c>
      <c r="AS267" s="61">
        <f t="shared" si="890"/>
        <v>91.860326954661673</v>
      </c>
    </row>
    <row r="268" spans="1:45">
      <c r="A268" s="59"/>
      <c r="B268" s="20">
        <f t="shared" si="891"/>
        <v>183</v>
      </c>
      <c r="C268" s="18">
        <f t="shared" si="907"/>
        <v>162.89629500000001</v>
      </c>
      <c r="D268" s="63">
        <f t="shared" ref="D268:G268" si="925">D253</f>
        <v>30</v>
      </c>
      <c r="E268" s="63">
        <f t="shared" si="925"/>
        <v>88</v>
      </c>
      <c r="F268" s="63">
        <f t="shared" si="925"/>
        <v>149.62449615527021</v>
      </c>
      <c r="G268" s="63">
        <f t="shared" si="925"/>
        <v>30.375503844729792</v>
      </c>
      <c r="H268" s="146">
        <f t="shared" si="909"/>
        <v>48.349846834774937</v>
      </c>
      <c r="I268" s="20"/>
      <c r="J268" s="63"/>
      <c r="K268" s="69">
        <f t="shared" si="910"/>
        <v>4.5881041420951405</v>
      </c>
      <c r="L268" s="63">
        <f t="shared" si="893"/>
        <v>67.249497989943649</v>
      </c>
      <c r="M268" s="41">
        <f t="shared" si="911"/>
        <v>5</v>
      </c>
      <c r="N268" s="61"/>
      <c r="O268" s="61"/>
      <c r="P268" s="23">
        <f>P$263</f>
        <v>1</v>
      </c>
      <c r="Q268" s="20">
        <f t="shared" si="879"/>
        <v>183</v>
      </c>
      <c r="R268" s="23">
        <f>R$263</f>
        <v>0.25</v>
      </c>
      <c r="S268" s="61">
        <f t="shared" si="920"/>
        <v>45.75</v>
      </c>
      <c r="T268" s="61">
        <f t="shared" si="921"/>
        <v>22.875</v>
      </c>
      <c r="U268" s="61">
        <f t="shared" si="881"/>
        <v>51.937248077635104</v>
      </c>
      <c r="V268" s="61"/>
      <c r="W268" s="61">
        <f t="shared" si="914"/>
        <v>57.975975830259024</v>
      </c>
      <c r="X268" s="61">
        <f>X$263-M268</f>
        <v>24.610828964718017</v>
      </c>
      <c r="Y268" s="61">
        <f t="shared" si="923"/>
        <v>57.473216720559627</v>
      </c>
      <c r="Z268" s="69">
        <f t="shared" si="924"/>
        <v>25.354261598392387</v>
      </c>
      <c r="AA268" s="69">
        <f t="shared" si="884"/>
        <v>38.980257976008907</v>
      </c>
      <c r="AB268" s="4">
        <f t="shared" si="885"/>
        <v>64.334519574401298</v>
      </c>
      <c r="AC268" s="70">
        <f t="shared" si="916"/>
        <v>-3.0140972783714943</v>
      </c>
      <c r="AD268" s="69">
        <f t="shared" si="894"/>
        <v>112.68436640917623</v>
      </c>
      <c r="AE268" s="71">
        <f t="shared" si="917"/>
        <v>1.5740068637236675</v>
      </c>
      <c r="AF268" s="59"/>
      <c r="AG268" s="128">
        <f t="shared" si="895"/>
        <v>-5</v>
      </c>
      <c r="AH268" s="128">
        <f t="shared" si="888"/>
        <v>-3.0140972783714943</v>
      </c>
      <c r="AI268" s="128">
        <f t="shared" si="896"/>
        <v>4.5881041420951405</v>
      </c>
      <c r="AJ268" s="128">
        <f t="shared" si="889"/>
        <v>1.5740068637236675</v>
      </c>
      <c r="AK268" s="128">
        <f t="shared" si="897"/>
        <v>-10.375503844729792</v>
      </c>
      <c r="AL268" s="61">
        <f t="shared" si="898"/>
        <v>10.375503844729792</v>
      </c>
      <c r="AS268" s="61">
        <f t="shared" si="890"/>
        <v>91.860326954661673</v>
      </c>
    </row>
    <row r="269" spans="1:45">
      <c r="A269" s="12"/>
      <c r="B269" s="5"/>
      <c r="C269" s="13"/>
      <c r="D269" s="5"/>
      <c r="E269" s="5"/>
      <c r="F269" s="5"/>
      <c r="G269" s="5"/>
      <c r="H269" s="13"/>
      <c r="I269" s="104"/>
      <c r="J269" s="13"/>
      <c r="K269" s="13"/>
      <c r="L269" s="13"/>
      <c r="M269" s="45"/>
      <c r="N269" s="13"/>
      <c r="O269" s="13"/>
      <c r="P269" s="103"/>
      <c r="Q269" s="23"/>
      <c r="R269" s="103"/>
      <c r="S269" s="13"/>
      <c r="T269" s="13"/>
      <c r="U269" s="13"/>
      <c r="V269" s="13"/>
      <c r="W269" s="13"/>
      <c r="X269" s="13"/>
      <c r="Y269" s="13"/>
      <c r="Z269" s="104"/>
      <c r="AA269" s="104"/>
      <c r="AB269" s="104"/>
      <c r="AC269" s="109"/>
      <c r="AD269" s="104"/>
      <c r="AE269" s="109"/>
      <c r="AF269" s="12"/>
      <c r="AG269" s="12"/>
      <c r="AH269" s="12"/>
      <c r="AI269" s="12"/>
      <c r="AJ269" s="12"/>
      <c r="AK269" s="12"/>
    </row>
    <row r="270" spans="1:45">
      <c r="A270" s="15" t="s">
        <v>124</v>
      </c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  <c r="AA270" s="59"/>
      <c r="AB270" s="59"/>
      <c r="AC270" s="59"/>
      <c r="AD270" s="59"/>
      <c r="AE270" s="59"/>
      <c r="AF270" s="59"/>
      <c r="AG270" s="59" t="s">
        <v>110</v>
      </c>
      <c r="AH270" s="59"/>
      <c r="AI270" s="59"/>
      <c r="AJ270" s="59"/>
      <c r="AK270" s="59"/>
      <c r="AL270" s="59"/>
      <c r="AM270" s="59"/>
      <c r="AN270" s="59"/>
      <c r="AO270" s="59"/>
    </row>
    <row r="271" spans="1:45">
      <c r="A271" s="2" t="s">
        <v>107</v>
      </c>
      <c r="B271" s="60">
        <v>0</v>
      </c>
      <c r="C271" s="2"/>
      <c r="D271" s="60">
        <v>0</v>
      </c>
      <c r="E271" s="20"/>
      <c r="F271" s="60">
        <v>0</v>
      </c>
      <c r="G271" s="59"/>
      <c r="H271" s="60">
        <v>1</v>
      </c>
      <c r="I271" s="59"/>
      <c r="J271" s="59"/>
      <c r="K271" s="59"/>
      <c r="L271" s="59"/>
      <c r="M271" s="59"/>
      <c r="N271" s="59"/>
      <c r="O271" s="59"/>
      <c r="P271" s="2" t="s">
        <v>52</v>
      </c>
      <c r="Q271" s="2"/>
      <c r="R271" s="2"/>
      <c r="S271" s="138"/>
      <c r="T271" s="138"/>
      <c r="U271" s="59"/>
      <c r="V271" s="59"/>
      <c r="W271" s="59"/>
      <c r="X271" s="59"/>
      <c r="Y271" s="59"/>
      <c r="Z271" s="59"/>
      <c r="AA271" s="59"/>
      <c r="AB271" s="59"/>
      <c r="AC271" s="59"/>
      <c r="AD271" s="59"/>
      <c r="AE271" s="59"/>
      <c r="AF271" s="59"/>
      <c r="AG271" s="59"/>
      <c r="AH271" s="59"/>
      <c r="AI271" s="59"/>
      <c r="AJ271" s="59"/>
      <c r="AK271" s="59"/>
      <c r="AL271" s="59"/>
      <c r="AM271" s="59"/>
      <c r="AN271" s="59"/>
      <c r="AO271" s="59"/>
    </row>
    <row r="272" spans="1:45" ht="112.5">
      <c r="A272" s="27"/>
      <c r="B272" s="48" t="s">
        <v>12</v>
      </c>
      <c r="C272" s="48" t="s">
        <v>8</v>
      </c>
      <c r="D272" s="141" t="s">
        <v>42</v>
      </c>
      <c r="E272" s="65" t="s">
        <v>3</v>
      </c>
      <c r="F272" s="143" t="s">
        <v>4</v>
      </c>
      <c r="G272" s="28" t="s">
        <v>41</v>
      </c>
      <c r="H272" s="65" t="s">
        <v>118</v>
      </c>
      <c r="I272" s="66" t="s">
        <v>1</v>
      </c>
      <c r="J272" s="66" t="s">
        <v>6</v>
      </c>
      <c r="K272" s="66" t="s">
        <v>5</v>
      </c>
      <c r="L272" s="28"/>
      <c r="M272" s="66" t="s">
        <v>21</v>
      </c>
      <c r="N272" s="66" t="s">
        <v>20</v>
      </c>
      <c r="O272" s="66" t="s">
        <v>22</v>
      </c>
      <c r="P272" s="31" t="s">
        <v>49</v>
      </c>
      <c r="Q272" s="31" t="s">
        <v>9</v>
      </c>
      <c r="R272" s="28" t="s">
        <v>18</v>
      </c>
      <c r="S272" s="28" t="s">
        <v>19</v>
      </c>
      <c r="T272" s="73" t="s">
        <v>83</v>
      </c>
      <c r="U272" s="28" t="s">
        <v>136</v>
      </c>
      <c r="V272" s="28" t="s">
        <v>121</v>
      </c>
      <c r="W272" s="27"/>
      <c r="X272" s="35"/>
      <c r="Y272" s="35"/>
      <c r="Z272" s="35"/>
      <c r="AA272" s="35"/>
      <c r="AB272" s="35"/>
      <c r="AC272" s="35"/>
      <c r="AD272" s="35"/>
      <c r="AE272" s="35"/>
      <c r="AF272" s="35"/>
      <c r="AG272" s="28" t="str">
        <f>H272</f>
        <v>Stretcher movement to stern (cm)</v>
      </c>
      <c r="AH272" s="28" t="s">
        <v>113</v>
      </c>
      <c r="AI272" s="28" t="s">
        <v>114</v>
      </c>
      <c r="AJ272" s="28" t="s">
        <v>115</v>
      </c>
      <c r="AK272" s="28" t="s">
        <v>136</v>
      </c>
      <c r="AL272" s="157" t="str">
        <f>V272</f>
        <v>change in overlap (cm)</v>
      </c>
      <c r="AM272" s="59"/>
      <c r="AN272" s="59"/>
      <c r="AO272" s="59"/>
    </row>
    <row r="273" spans="1:45">
      <c r="A273" s="59"/>
      <c r="B273" s="140">
        <f t="shared" ref="B273" si="926">5*B271+B278</f>
        <v>183</v>
      </c>
      <c r="C273" s="18">
        <f t="shared" ref="C273:C277" si="927">100*(0.297865*B273/100+1.08387)</f>
        <v>162.89629500000001</v>
      </c>
      <c r="D273" s="140">
        <f t="shared" ref="D273" si="928">5*D271+D278</f>
        <v>30</v>
      </c>
      <c r="E273" s="63">
        <f t="shared" ref="E273:E276" si="929">P273/SIN(RADIANS(I273))-2</f>
        <v>84.617001911290842</v>
      </c>
      <c r="F273" s="140">
        <f t="shared" ref="F273" si="930">5*F271+F278</f>
        <v>160</v>
      </c>
      <c r="G273" s="63">
        <f t="shared" ref="G273:G277" si="931">(E273+2)*2 -F273</f>
        <v>13.234003822581684</v>
      </c>
      <c r="H273" s="63">
        <f>5*H271+H278</f>
        <v>5</v>
      </c>
      <c r="I273" s="84">
        <f t="shared" ref="I273:I276" si="932">DEGREES(ATAN((P273/(F273/2-D273/2))))</f>
        <v>41.372357186783574</v>
      </c>
      <c r="J273" s="9">
        <f t="shared" ref="J273:J283" si="933">DEGREES(C273/(E273-6+2))</f>
        <v>115.77297568183121</v>
      </c>
      <c r="K273" s="9">
        <f t="shared" ref="K273:K277" si="934">J273-I273</f>
        <v>74.400618495047638</v>
      </c>
      <c r="L273" s="61"/>
      <c r="M273" s="84">
        <f t="shared" ref="M273:M277" si="935">K273-K$278</f>
        <v>7.0520016422748597</v>
      </c>
      <c r="N273" s="44">
        <f t="shared" ref="N273:N277" si="936">I273-I$278</f>
        <v>-2.3893855058962217</v>
      </c>
      <c r="O273" s="84">
        <f t="shared" ref="O273:O278" si="937">J273-J$278</f>
        <v>4.6626161363786451</v>
      </c>
      <c r="P273" s="62">
        <f t="shared" ref="P273:P276" si="938">P$278-H273</f>
        <v>57.249497989943649</v>
      </c>
      <c r="Q273" s="62">
        <f t="shared" ref="Q273:Q277" si="939">P273-P$278</f>
        <v>-5</v>
      </c>
      <c r="R273" s="49">
        <f t="shared" ref="R273:R283" si="940">(E273+2)*SIN(RADIANS(K273))</f>
        <v>83.426505327338546</v>
      </c>
      <c r="S273" s="49">
        <f t="shared" ref="S273:S283" si="941">(F273/2)- (E273+2)*COS(RADIANS(K273))</f>
        <v>56.707871952779527</v>
      </c>
      <c r="T273" s="61">
        <f t="shared" ref="T273:T278" si="942">D273-D$278</f>
        <v>0</v>
      </c>
      <c r="U273" s="61">
        <f t="shared" ref="U273:U277" si="943">E273-E$278</f>
        <v>-3.382998088709158</v>
      </c>
      <c r="V273" s="61">
        <f t="shared" ref="V273:V278" si="944">G273-G$278</f>
        <v>-6.7659961774183159</v>
      </c>
      <c r="W273" s="59"/>
      <c r="X273" s="59"/>
      <c r="Y273" s="59"/>
      <c r="Z273" s="59"/>
      <c r="AA273" s="59"/>
      <c r="AB273" s="59"/>
      <c r="AC273" s="59"/>
      <c r="AD273" s="59"/>
      <c r="AE273" s="59"/>
      <c r="AF273" s="59"/>
      <c r="AG273" s="128">
        <f>H273</f>
        <v>5</v>
      </c>
      <c r="AH273" s="128">
        <f>M273</f>
        <v>7.0520016422748597</v>
      </c>
      <c r="AI273" s="128">
        <f>N273</f>
        <v>-2.3893855058962217</v>
      </c>
      <c r="AJ273" s="128">
        <f t="shared" ref="AJ273:AJ283" si="945">O273</f>
        <v>4.6626161363786451</v>
      </c>
      <c r="AK273" s="128">
        <f>U273</f>
        <v>-3.382998088709158</v>
      </c>
      <c r="AL273" s="61">
        <f>V273</f>
        <v>-6.7659961774183159</v>
      </c>
      <c r="AM273" s="59"/>
      <c r="AN273" s="59"/>
      <c r="AO273" s="59"/>
    </row>
    <row r="274" spans="1:45">
      <c r="A274" s="59"/>
      <c r="B274" s="140">
        <f t="shared" ref="B274" si="946">4*B271+B278</f>
        <v>183</v>
      </c>
      <c r="C274" s="18">
        <f t="shared" si="927"/>
        <v>162.89629500000001</v>
      </c>
      <c r="D274" s="140">
        <f t="shared" ref="D274" si="947">4*D271+D278</f>
        <v>30</v>
      </c>
      <c r="E274" s="63">
        <f t="shared" si="929"/>
        <v>85.281177902686707</v>
      </c>
      <c r="F274" s="140">
        <f t="shared" ref="F274" si="948">4*F271+F278</f>
        <v>160</v>
      </c>
      <c r="G274" s="63">
        <f t="shared" si="931"/>
        <v>14.562355805373414</v>
      </c>
      <c r="H274" s="63">
        <f>4*H271+H278</f>
        <v>4</v>
      </c>
      <c r="I274" s="84">
        <f t="shared" si="932"/>
        <v>41.864983486772104</v>
      </c>
      <c r="J274" s="9">
        <f t="shared" si="933"/>
        <v>114.82695554673438</v>
      </c>
      <c r="K274" s="9">
        <f t="shared" si="934"/>
        <v>72.961972059962278</v>
      </c>
      <c r="L274" s="61"/>
      <c r="M274" s="84">
        <f t="shared" si="935"/>
        <v>5.6133552071894997</v>
      </c>
      <c r="N274" s="44">
        <f t="shared" si="936"/>
        <v>-1.8967592059076921</v>
      </c>
      <c r="O274" s="84">
        <f t="shared" si="937"/>
        <v>3.7165960012818147</v>
      </c>
      <c r="P274" s="62">
        <f t="shared" si="938"/>
        <v>58.249497989943649</v>
      </c>
      <c r="Q274" s="62">
        <f t="shared" si="939"/>
        <v>-4</v>
      </c>
      <c r="R274" s="49">
        <f t="shared" si="940"/>
        <v>83.450450166186386</v>
      </c>
      <c r="S274" s="49">
        <f t="shared" si="941"/>
        <v>54.426060468881808</v>
      </c>
      <c r="T274" s="61">
        <f t="shared" si="942"/>
        <v>0</v>
      </c>
      <c r="U274" s="61">
        <f t="shared" si="943"/>
        <v>-2.7188220973132928</v>
      </c>
      <c r="V274" s="61">
        <f t="shared" si="944"/>
        <v>-5.4376441946265857</v>
      </c>
      <c r="W274" s="59"/>
      <c r="X274" s="59"/>
      <c r="Y274" s="59"/>
      <c r="Z274" s="59"/>
      <c r="AA274" s="59"/>
      <c r="AB274" s="59"/>
      <c r="AC274" s="59"/>
      <c r="AD274" s="59"/>
      <c r="AE274" s="59"/>
      <c r="AF274" s="59"/>
      <c r="AG274" s="128">
        <f t="shared" ref="AG274:AG283" si="949">H274</f>
        <v>4</v>
      </c>
      <c r="AH274" s="128">
        <f t="shared" ref="AH274:AH283" si="950">M274</f>
        <v>5.6133552071894997</v>
      </c>
      <c r="AI274" s="128">
        <f t="shared" ref="AI274:AI283" si="951">N274</f>
        <v>-1.8967592059076921</v>
      </c>
      <c r="AJ274" s="128">
        <f t="shared" si="945"/>
        <v>3.7165960012818147</v>
      </c>
      <c r="AK274" s="128">
        <f t="shared" ref="AK274:AK283" si="952">U274</f>
        <v>-2.7188220973132928</v>
      </c>
      <c r="AL274" s="61">
        <f t="shared" ref="AL274:AL283" si="953">V274</f>
        <v>-5.4376441946265857</v>
      </c>
      <c r="AM274" s="59"/>
      <c r="AN274" s="59"/>
      <c r="AO274" s="59"/>
    </row>
    <row r="275" spans="1:45">
      <c r="A275" s="59"/>
      <c r="B275" s="140">
        <f t="shared" ref="B275" si="954">3*B271+B278</f>
        <v>183</v>
      </c>
      <c r="C275" s="18">
        <f t="shared" si="927"/>
        <v>162.89629500000001</v>
      </c>
      <c r="D275" s="140">
        <f t="shared" ref="D275" si="955">3*D271+D278</f>
        <v>30</v>
      </c>
      <c r="E275" s="63">
        <f t="shared" si="929"/>
        <v>85.951708408991905</v>
      </c>
      <c r="F275" s="140">
        <f t="shared" ref="F275" si="956">3*F271+F278</f>
        <v>160</v>
      </c>
      <c r="G275" s="63">
        <f t="shared" si="931"/>
        <v>15.90341681798381</v>
      </c>
      <c r="H275" s="63">
        <f>3*H271+H278</f>
        <v>3</v>
      </c>
      <c r="I275" s="84">
        <f t="shared" si="932"/>
        <v>42.35013378235935</v>
      </c>
      <c r="J275" s="9">
        <f t="shared" si="933"/>
        <v>113.88743911522837</v>
      </c>
      <c r="K275" s="9">
        <f t="shared" si="934"/>
        <v>71.537305332869025</v>
      </c>
      <c r="L275" s="61"/>
      <c r="M275" s="84">
        <f t="shared" si="935"/>
        <v>4.1886884800962463</v>
      </c>
      <c r="N275" s="44">
        <f t="shared" si="936"/>
        <v>-1.4116089103204459</v>
      </c>
      <c r="O275" s="84">
        <f t="shared" si="937"/>
        <v>2.7770795697758075</v>
      </c>
      <c r="P275" s="62">
        <f t="shared" si="938"/>
        <v>59.249497989943649</v>
      </c>
      <c r="Q275" s="62">
        <f t="shared" si="939"/>
        <v>-3</v>
      </c>
      <c r="R275" s="49">
        <f t="shared" si="940"/>
        <v>83.424838508658553</v>
      </c>
      <c r="S275" s="49">
        <f t="shared" si="941"/>
        <v>52.146825461635814</v>
      </c>
      <c r="T275" s="61">
        <f t="shared" si="942"/>
        <v>0</v>
      </c>
      <c r="U275" s="61">
        <f t="shared" si="943"/>
        <v>-2.0482915910080948</v>
      </c>
      <c r="V275" s="61">
        <f t="shared" si="944"/>
        <v>-4.0965831820161895</v>
      </c>
      <c r="W275" s="59"/>
      <c r="X275" s="59"/>
      <c r="Y275" s="59"/>
      <c r="Z275" s="59"/>
      <c r="AA275" s="59"/>
      <c r="AB275" s="59"/>
      <c r="AC275" s="59"/>
      <c r="AD275" s="59"/>
      <c r="AE275" s="59"/>
      <c r="AF275" s="59"/>
      <c r="AG275" s="128">
        <f t="shared" si="949"/>
        <v>3</v>
      </c>
      <c r="AH275" s="128">
        <f t="shared" si="950"/>
        <v>4.1886884800962463</v>
      </c>
      <c r="AI275" s="128">
        <f t="shared" si="951"/>
        <v>-1.4116089103204459</v>
      </c>
      <c r="AJ275" s="128">
        <f t="shared" si="945"/>
        <v>2.7770795697758075</v>
      </c>
      <c r="AK275" s="128">
        <f t="shared" si="952"/>
        <v>-2.0482915910080948</v>
      </c>
      <c r="AL275" s="61">
        <f t="shared" si="953"/>
        <v>-4.0965831820161895</v>
      </c>
      <c r="AM275" s="59"/>
      <c r="AN275" s="59"/>
      <c r="AO275" s="59"/>
    </row>
    <row r="276" spans="1:45">
      <c r="A276" s="59"/>
      <c r="B276" s="140">
        <f t="shared" ref="B276" si="957">2*B271+B278</f>
        <v>183</v>
      </c>
      <c r="C276" s="18">
        <f t="shared" si="927"/>
        <v>162.89629500000001</v>
      </c>
      <c r="D276" s="140">
        <f t="shared" ref="D276" si="958">2*D271+D278</f>
        <v>30</v>
      </c>
      <c r="E276" s="63">
        <f t="shared" si="929"/>
        <v>86.628449202500562</v>
      </c>
      <c r="F276" s="140">
        <f t="shared" ref="F276" si="959">2*F271+F278</f>
        <v>160</v>
      </c>
      <c r="G276" s="63">
        <f t="shared" si="931"/>
        <v>17.256898405001124</v>
      </c>
      <c r="H276" s="63">
        <f>2*H271+H278</f>
        <v>2</v>
      </c>
      <c r="I276" s="84">
        <f t="shared" si="932"/>
        <v>42.827908970488856</v>
      </c>
      <c r="J276" s="9">
        <f t="shared" si="933"/>
        <v>112.95468197575183</v>
      </c>
      <c r="K276" s="9">
        <f t="shared" si="934"/>
        <v>70.126773005262976</v>
      </c>
      <c r="L276" s="61"/>
      <c r="M276" s="84">
        <f t="shared" si="935"/>
        <v>2.7781561524901974</v>
      </c>
      <c r="N276" s="44">
        <f t="shared" si="936"/>
        <v>-0.93383372219093985</v>
      </c>
      <c r="O276" s="84">
        <f t="shared" si="937"/>
        <v>1.8443224302992576</v>
      </c>
      <c r="P276" s="62">
        <f t="shared" si="938"/>
        <v>60.249497989943649</v>
      </c>
      <c r="Q276" s="62">
        <f t="shared" si="939"/>
        <v>-2</v>
      </c>
      <c r="R276" s="49">
        <f t="shared" si="940"/>
        <v>83.350365895482682</v>
      </c>
      <c r="S276" s="49">
        <f t="shared" si="941"/>
        <v>49.871632750356667</v>
      </c>
      <c r="T276" s="61">
        <f t="shared" si="942"/>
        <v>0</v>
      </c>
      <c r="U276" s="61">
        <f t="shared" si="943"/>
        <v>-1.3715507974994381</v>
      </c>
      <c r="V276" s="61">
        <f t="shared" si="944"/>
        <v>-2.7431015949988762</v>
      </c>
      <c r="W276" s="59"/>
      <c r="X276" s="59"/>
      <c r="Y276" s="59"/>
      <c r="Z276" s="59"/>
      <c r="AA276" s="59"/>
      <c r="AB276" s="59"/>
      <c r="AC276" s="59"/>
      <c r="AD276" s="59"/>
      <c r="AE276" s="59"/>
      <c r="AF276" s="59"/>
      <c r="AG276" s="128">
        <f t="shared" si="949"/>
        <v>2</v>
      </c>
      <c r="AH276" s="128">
        <f t="shared" si="950"/>
        <v>2.7781561524901974</v>
      </c>
      <c r="AI276" s="128">
        <f t="shared" si="951"/>
        <v>-0.93383372219093985</v>
      </c>
      <c r="AJ276" s="128">
        <f t="shared" si="945"/>
        <v>1.8443224302992576</v>
      </c>
      <c r="AK276" s="128">
        <f t="shared" si="952"/>
        <v>-1.3715507974994381</v>
      </c>
      <c r="AL276" s="61">
        <f t="shared" si="953"/>
        <v>-2.7431015949988762</v>
      </c>
      <c r="AM276" s="59"/>
      <c r="AN276" s="59"/>
      <c r="AO276" s="59"/>
    </row>
    <row r="277" spans="1:45">
      <c r="A277" s="59"/>
      <c r="B277" s="140">
        <f t="shared" ref="B277" si="960">B278+B271</f>
        <v>183</v>
      </c>
      <c r="C277" s="18">
        <f t="shared" si="927"/>
        <v>162.89629500000001</v>
      </c>
      <c r="D277" s="140">
        <f t="shared" ref="D277" si="961">D278+D271</f>
        <v>30</v>
      </c>
      <c r="E277" s="63">
        <f>P277/SIN(RADIANS(I277))-2</f>
        <v>87.31125911115636</v>
      </c>
      <c r="F277" s="140">
        <f t="shared" ref="F277" si="962">F278+F271</f>
        <v>160</v>
      </c>
      <c r="G277" s="63">
        <f t="shared" si="931"/>
        <v>18.622518222312721</v>
      </c>
      <c r="H277" s="63">
        <f>H278+H271</f>
        <v>1</v>
      </c>
      <c r="I277" s="84">
        <f>DEGREES(ATAN((P277/(F277/2-D277/2))))</f>
        <v>43.298411007248895</v>
      </c>
      <c r="J277" s="9">
        <f t="shared" si="933"/>
        <v>112.028917836487</v>
      </c>
      <c r="K277" s="9">
        <f t="shared" si="934"/>
        <v>68.730506829238095</v>
      </c>
      <c r="L277" s="61"/>
      <c r="M277" s="84">
        <f t="shared" si="935"/>
        <v>1.3818899764653167</v>
      </c>
      <c r="N277" s="44">
        <f t="shared" si="936"/>
        <v>-0.46333168543090153</v>
      </c>
      <c r="O277" s="84">
        <f t="shared" si="937"/>
        <v>0.91855829103442943</v>
      </c>
      <c r="P277" s="62">
        <f>P$278-H277</f>
        <v>61.249497989943649</v>
      </c>
      <c r="Q277" s="62">
        <f t="shared" si="939"/>
        <v>-1</v>
      </c>
      <c r="R277" s="49">
        <f t="shared" si="940"/>
        <v>83.227778637041567</v>
      </c>
      <c r="S277" s="49">
        <f t="shared" si="941"/>
        <v>47.6018848208153</v>
      </c>
      <c r="T277" s="61">
        <f t="shared" si="942"/>
        <v>0</v>
      </c>
      <c r="U277" s="61">
        <f t="shared" si="943"/>
        <v>-0.68874088884363971</v>
      </c>
      <c r="V277" s="61">
        <f t="shared" si="944"/>
        <v>-1.3774817776872794</v>
      </c>
      <c r="W277" s="59"/>
      <c r="X277" s="59"/>
      <c r="Y277" s="59"/>
      <c r="Z277" s="59"/>
      <c r="AA277" s="59"/>
      <c r="AB277" s="59"/>
      <c r="AC277" s="59"/>
      <c r="AD277" s="59"/>
      <c r="AE277" s="59"/>
      <c r="AF277" s="59"/>
      <c r="AG277" s="128">
        <f t="shared" si="949"/>
        <v>1</v>
      </c>
      <c r="AH277" s="128">
        <f t="shared" si="950"/>
        <v>1.3818899764653167</v>
      </c>
      <c r="AI277" s="128">
        <f t="shared" si="951"/>
        <v>-0.46333168543090153</v>
      </c>
      <c r="AJ277" s="128">
        <f t="shared" si="945"/>
        <v>0.91855829103442943</v>
      </c>
      <c r="AK277" s="128">
        <f t="shared" si="952"/>
        <v>-0.68874088884363971</v>
      </c>
      <c r="AL277" s="61">
        <f t="shared" si="953"/>
        <v>-1.3774817776872794</v>
      </c>
      <c r="AM277" s="59"/>
      <c r="AN277" s="59"/>
      <c r="AO277" s="59"/>
    </row>
    <row r="278" spans="1:45">
      <c r="A278" s="15"/>
      <c r="B278" s="147">
        <v>183</v>
      </c>
      <c r="C278" s="18">
        <f>100*(0.297865*B278/100+1.08387)</f>
        <v>162.89629500000001</v>
      </c>
      <c r="D278" s="147">
        <v>30</v>
      </c>
      <c r="E278" s="147">
        <v>88</v>
      </c>
      <c r="F278" s="147">
        <v>160</v>
      </c>
      <c r="G278" s="40">
        <f>(E278+2)*2 -F278</f>
        <v>20</v>
      </c>
      <c r="H278" s="147">
        <v>0</v>
      </c>
      <c r="I278" s="44">
        <f t="shared" ref="I278" si="963">DEGREES(ACOS((F278-D278)/2/(E278+2)))</f>
        <v>43.761742692679796</v>
      </c>
      <c r="J278" s="44">
        <f t="shared" si="933"/>
        <v>111.11035954545257</v>
      </c>
      <c r="K278" s="44">
        <f>J278-I278</f>
        <v>67.348616852772778</v>
      </c>
      <c r="L278" s="39"/>
      <c r="M278" s="84">
        <f>K278-K$278</f>
        <v>0</v>
      </c>
      <c r="N278" s="44">
        <f>I278-I$278</f>
        <v>0</v>
      </c>
      <c r="O278" s="84">
        <f t="shared" si="937"/>
        <v>0</v>
      </c>
      <c r="P278" s="41">
        <f t="shared" ref="P278" si="964">((F278-D278)/2)*TAN(RADIANS(I278))</f>
        <v>62.249497989943649</v>
      </c>
      <c r="Q278" s="62">
        <f>P278-P$278</f>
        <v>0</v>
      </c>
      <c r="R278" s="39">
        <f t="shared" si="940"/>
        <v>83.057868711361749</v>
      </c>
      <c r="S278" s="39">
        <f t="shared" si="941"/>
        <v>45.338920312168661</v>
      </c>
      <c r="T278" s="61">
        <f t="shared" si="942"/>
        <v>0</v>
      </c>
      <c r="U278" s="61">
        <f>E278-E$278</f>
        <v>0</v>
      </c>
      <c r="V278" s="61">
        <f t="shared" si="944"/>
        <v>0</v>
      </c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28">
        <f t="shared" si="949"/>
        <v>0</v>
      </c>
      <c r="AH278" s="148">
        <f t="shared" si="950"/>
        <v>0</v>
      </c>
      <c r="AI278" s="148">
        <f t="shared" si="951"/>
        <v>0</v>
      </c>
      <c r="AJ278" s="148">
        <f t="shared" si="945"/>
        <v>0</v>
      </c>
      <c r="AK278" s="128">
        <f t="shared" si="952"/>
        <v>0</v>
      </c>
      <c r="AL278" s="61">
        <f t="shared" si="953"/>
        <v>0</v>
      </c>
      <c r="AM278" s="59"/>
      <c r="AN278" s="59"/>
      <c r="AO278" s="59"/>
    </row>
    <row r="279" spans="1:45">
      <c r="A279" s="59"/>
      <c r="B279" s="140">
        <f t="shared" ref="B279" si="965">B278-B271</f>
        <v>183</v>
      </c>
      <c r="C279" s="18">
        <f>100*(0.297865*B283/100+1.08387)</f>
        <v>162.89629500000001</v>
      </c>
      <c r="D279" s="140">
        <f t="shared" ref="D279" si="966">D278-D271</f>
        <v>30</v>
      </c>
      <c r="E279" s="63">
        <f>P279/SIN(RADIANS(I279))-2</f>
        <v>88.694536748251195</v>
      </c>
      <c r="F279" s="140">
        <f t="shared" ref="F279" si="967">F278-F271</f>
        <v>160</v>
      </c>
      <c r="G279" s="63">
        <f t="shared" ref="G279:G283" si="968">(E279+2)*2 -F279</f>
        <v>21.389073496502391</v>
      </c>
      <c r="H279" s="63">
        <f>H278-H271</f>
        <v>-1</v>
      </c>
      <c r="I279" s="84">
        <f>DEGREES(ATAN((P279/(F279/2-D279/2))))</f>
        <v>44.218007469396433</v>
      </c>
      <c r="J279" s="9">
        <f t="shared" si="933"/>
        <v>110.19920009197915</v>
      </c>
      <c r="K279" s="9">
        <f t="shared" ref="K279:K283" si="969">J279-I279</f>
        <v>65.981192622582711</v>
      </c>
      <c r="L279" s="61"/>
      <c r="M279" s="84">
        <f t="shared" ref="M279:M283" si="970">K279-K$278</f>
        <v>-1.3674242301900676</v>
      </c>
      <c r="N279" s="44">
        <f t="shared" ref="N279:N283" si="971">I279-I$278</f>
        <v>0.45626477671663679</v>
      </c>
      <c r="O279" s="84">
        <f>J279-J$278</f>
        <v>-0.91115945347341665</v>
      </c>
      <c r="P279" s="62">
        <f>P$278-H279</f>
        <v>63.249497989943649</v>
      </c>
      <c r="Q279" s="62">
        <f t="shared" ref="Q279:Q283" si="972">P279-P$278</f>
        <v>1</v>
      </c>
      <c r="R279" s="49">
        <f t="shared" si="940"/>
        <v>82.841468845791795</v>
      </c>
      <c r="S279" s="49">
        <f t="shared" si="941"/>
        <v>43.084013822578264</v>
      </c>
      <c r="T279" s="61">
        <f>D279-D$278</f>
        <v>0</v>
      </c>
      <c r="U279" s="61">
        <f t="shared" ref="U279:U283" si="973">E279-E$278</f>
        <v>0.69453674825119549</v>
      </c>
      <c r="V279" s="61">
        <f>G279-G$278</f>
        <v>1.389073496502391</v>
      </c>
      <c r="W279" s="59"/>
      <c r="X279" s="59"/>
      <c r="Y279" s="59"/>
      <c r="Z279" s="59"/>
      <c r="AA279" s="59"/>
      <c r="AB279" s="59"/>
      <c r="AC279" s="59"/>
      <c r="AD279" s="59"/>
      <c r="AE279" s="59"/>
      <c r="AF279" s="59"/>
      <c r="AG279" s="128">
        <f t="shared" si="949"/>
        <v>-1</v>
      </c>
      <c r="AH279" s="128">
        <f t="shared" si="950"/>
        <v>-1.3674242301900676</v>
      </c>
      <c r="AI279" s="128">
        <f t="shared" si="951"/>
        <v>0.45626477671663679</v>
      </c>
      <c r="AJ279" s="128">
        <f t="shared" si="945"/>
        <v>-0.91115945347341665</v>
      </c>
      <c r="AK279" s="128">
        <f t="shared" si="952"/>
        <v>0.69453674825119549</v>
      </c>
      <c r="AL279" s="61">
        <f t="shared" si="953"/>
        <v>1.389073496502391</v>
      </c>
      <c r="AM279" s="59"/>
      <c r="AN279" s="59"/>
      <c r="AO279" s="59"/>
    </row>
    <row r="280" spans="1:45">
      <c r="A280" s="59"/>
      <c r="B280" s="140">
        <f t="shared" ref="B280" si="974">B278-2*B271</f>
        <v>183</v>
      </c>
      <c r="C280" s="18">
        <f t="shared" ref="C280:C283" si="975">100*(0.297865*B280/100+1.08387)</f>
        <v>162.89629500000001</v>
      </c>
      <c r="D280" s="140">
        <f t="shared" ref="D280" si="976">D278-2*D271</f>
        <v>30</v>
      </c>
      <c r="E280" s="63">
        <f t="shared" ref="E280:E283" si="977">P280/SIN(RADIANS(I280))-2</f>
        <v>89.394737222444988</v>
      </c>
      <c r="F280" s="140">
        <f t="shared" ref="F280" si="978">F278-2*F271</f>
        <v>160</v>
      </c>
      <c r="G280" s="63">
        <f t="shared" si="968"/>
        <v>22.789474444889976</v>
      </c>
      <c r="H280" s="63">
        <f>H278-2*H271</f>
        <v>-2</v>
      </c>
      <c r="I280" s="84">
        <f t="shared" ref="I280:I283" si="979">DEGREES(ATAN((P280/(F280/2-D280/2))))</f>
        <v>44.667309234539651</v>
      </c>
      <c r="J280" s="9">
        <f t="shared" si="933"/>
        <v>109.29561358688596</v>
      </c>
      <c r="K280" s="9">
        <f t="shared" si="969"/>
        <v>64.628304352346305</v>
      </c>
      <c r="L280" s="61"/>
      <c r="M280" s="84">
        <f t="shared" si="970"/>
        <v>-2.7203125004264734</v>
      </c>
      <c r="N280" s="44">
        <f t="shared" si="971"/>
        <v>0.90556654185985508</v>
      </c>
      <c r="O280" s="84">
        <f t="shared" ref="O280:O283" si="980">J280-J$278</f>
        <v>-1.8147459585666041</v>
      </c>
      <c r="P280" s="62">
        <f t="shared" ref="P280:P283" si="981">P$278-H280</f>
        <v>64.249497989943649</v>
      </c>
      <c r="Q280" s="62">
        <f t="shared" si="972"/>
        <v>2</v>
      </c>
      <c r="R280" s="49">
        <f t="shared" si="940"/>
        <v>82.57944779498736</v>
      </c>
      <c r="S280" s="49">
        <f t="shared" si="941"/>
        <v>40.83837600616225</v>
      </c>
      <c r="T280" s="61">
        <f t="shared" ref="T280:T283" si="982">D280-D$278</f>
        <v>0</v>
      </c>
      <c r="U280" s="61">
        <f t="shared" si="973"/>
        <v>1.3947372224449879</v>
      </c>
      <c r="V280" s="61">
        <f t="shared" ref="V280:V282" si="983">G280-G$278</f>
        <v>2.7894744448899758</v>
      </c>
      <c r="W280" s="59"/>
      <c r="X280" s="59"/>
      <c r="Y280" s="59"/>
      <c r="Z280" s="59"/>
      <c r="AA280" s="59"/>
      <c r="AB280" s="59"/>
      <c r="AC280" s="59"/>
      <c r="AD280" s="59"/>
      <c r="AE280" s="59"/>
      <c r="AF280" s="59"/>
      <c r="AG280" s="128">
        <f t="shared" si="949"/>
        <v>-2</v>
      </c>
      <c r="AH280" s="128">
        <f t="shared" si="950"/>
        <v>-2.7203125004264734</v>
      </c>
      <c r="AI280" s="128">
        <f t="shared" si="951"/>
        <v>0.90556654185985508</v>
      </c>
      <c r="AJ280" s="128">
        <f t="shared" si="945"/>
        <v>-1.8147459585666041</v>
      </c>
      <c r="AK280" s="128">
        <f t="shared" si="952"/>
        <v>1.3947372224449879</v>
      </c>
      <c r="AL280" s="61">
        <f t="shared" si="953"/>
        <v>2.7894744448899758</v>
      </c>
      <c r="AM280" s="59"/>
      <c r="AN280" s="59"/>
      <c r="AO280" s="59"/>
    </row>
    <row r="281" spans="1:45">
      <c r="A281" s="59"/>
      <c r="B281" s="140">
        <f t="shared" ref="B281" si="984">B278-3*B271</f>
        <v>183</v>
      </c>
      <c r="C281" s="18">
        <f t="shared" si="975"/>
        <v>162.89629500000001</v>
      </c>
      <c r="D281" s="140">
        <f t="shared" ref="D281" si="985">D278-3*D271</f>
        <v>30</v>
      </c>
      <c r="E281" s="63">
        <f t="shared" si="977"/>
        <v>90.100472246018697</v>
      </c>
      <c r="F281" s="140">
        <f t="shared" ref="F281" si="986">F278-3*F271</f>
        <v>160</v>
      </c>
      <c r="G281" s="63">
        <f t="shared" si="968"/>
        <v>24.200944492037394</v>
      </c>
      <c r="H281" s="63">
        <f>H278-3*H271</f>
        <v>-3</v>
      </c>
      <c r="I281" s="84">
        <f t="shared" si="979"/>
        <v>45.109752164553626</v>
      </c>
      <c r="J281" s="9">
        <f t="shared" si="933"/>
        <v>108.39975621910236</v>
      </c>
      <c r="K281" s="9">
        <f t="shared" si="969"/>
        <v>63.290004054548731</v>
      </c>
      <c r="L281" s="61"/>
      <c r="M281" s="84">
        <f t="shared" si="970"/>
        <v>-4.058612798224047</v>
      </c>
      <c r="N281" s="44">
        <f t="shared" si="971"/>
        <v>1.34800947187383</v>
      </c>
      <c r="O281" s="84">
        <f t="shared" si="980"/>
        <v>-2.7106033263502098</v>
      </c>
      <c r="P281" s="62">
        <f t="shared" si="981"/>
        <v>65.249497989943649</v>
      </c>
      <c r="Q281" s="62">
        <f t="shared" si="972"/>
        <v>3</v>
      </c>
      <c r="R281" s="49">
        <f t="shared" si="940"/>
        <v>82.272705825000145</v>
      </c>
      <c r="S281" s="49">
        <f t="shared" si="941"/>
        <v>38.603153934476516</v>
      </c>
      <c r="T281" s="61">
        <f t="shared" si="982"/>
        <v>0</v>
      </c>
      <c r="U281" s="61">
        <f t="shared" si="973"/>
        <v>2.1004722460186969</v>
      </c>
      <c r="V281" s="61">
        <f t="shared" si="983"/>
        <v>4.2009444920373937</v>
      </c>
      <c r="W281" s="59"/>
      <c r="X281" s="59"/>
      <c r="Y281" s="59"/>
      <c r="Z281" s="59"/>
      <c r="AA281" s="59"/>
      <c r="AB281" s="59"/>
      <c r="AC281" s="59"/>
      <c r="AD281" s="59"/>
      <c r="AE281" s="59"/>
      <c r="AF281" s="59"/>
      <c r="AG281" s="128">
        <f t="shared" si="949"/>
        <v>-3</v>
      </c>
      <c r="AH281" s="128">
        <f t="shared" si="950"/>
        <v>-4.058612798224047</v>
      </c>
      <c r="AI281" s="128">
        <f t="shared" si="951"/>
        <v>1.34800947187383</v>
      </c>
      <c r="AJ281" s="128">
        <f t="shared" si="945"/>
        <v>-2.7106033263502098</v>
      </c>
      <c r="AK281" s="128">
        <f t="shared" si="952"/>
        <v>2.1004722460186969</v>
      </c>
      <c r="AL281" s="61">
        <f t="shared" si="953"/>
        <v>4.2009444920373937</v>
      </c>
      <c r="AM281" s="59"/>
      <c r="AN281" s="59"/>
      <c r="AO281" s="59"/>
    </row>
    <row r="282" spans="1:45">
      <c r="A282" s="59"/>
      <c r="B282" s="140">
        <f t="shared" ref="B282" si="987">B278-4*B271</f>
        <v>183</v>
      </c>
      <c r="C282" s="18">
        <f t="shared" si="975"/>
        <v>162.89629500000001</v>
      </c>
      <c r="D282" s="140">
        <f t="shared" ref="D282" si="988">D278-4*D271</f>
        <v>30</v>
      </c>
      <c r="E282" s="63">
        <f t="shared" si="977"/>
        <v>90.811615565722946</v>
      </c>
      <c r="F282" s="140">
        <f t="shared" ref="F282" si="989">F278-4*F271</f>
        <v>160</v>
      </c>
      <c r="G282" s="63">
        <f t="shared" si="968"/>
        <v>25.623231131445891</v>
      </c>
      <c r="H282" s="63">
        <f>H278-4*H271</f>
        <v>-4</v>
      </c>
      <c r="I282" s="84">
        <f t="shared" si="979"/>
        <v>45.545440552274449</v>
      </c>
      <c r="J282" s="9">
        <f t="shared" si="933"/>
        <v>107.51176718686942</v>
      </c>
      <c r="K282" s="9">
        <f t="shared" si="969"/>
        <v>61.966326634594971</v>
      </c>
      <c r="L282" s="61"/>
      <c r="M282" s="84">
        <f t="shared" si="970"/>
        <v>-5.3822902181778076</v>
      </c>
      <c r="N282" s="44">
        <f t="shared" si="971"/>
        <v>1.7836978595946533</v>
      </c>
      <c r="O282" s="84">
        <f t="shared" si="980"/>
        <v>-3.5985923585831472</v>
      </c>
      <c r="P282" s="62">
        <f t="shared" si="981"/>
        <v>66.249497989943649</v>
      </c>
      <c r="Q282" s="62">
        <f t="shared" si="972"/>
        <v>4</v>
      </c>
      <c r="R282" s="49">
        <f t="shared" si="940"/>
        <v>81.922170410685339</v>
      </c>
      <c r="S282" s="49">
        <f t="shared" si="941"/>
        <v>36.379431696478576</v>
      </c>
      <c r="T282" s="61">
        <f t="shared" si="982"/>
        <v>0</v>
      </c>
      <c r="U282" s="61">
        <f t="shared" si="973"/>
        <v>2.8116155657229456</v>
      </c>
      <c r="V282" s="61">
        <f t="shared" si="983"/>
        <v>5.6232311314458912</v>
      </c>
      <c r="W282" s="59"/>
      <c r="X282" s="59"/>
      <c r="Y282" s="59"/>
      <c r="Z282" s="59"/>
      <c r="AA282" s="59"/>
      <c r="AB282" s="59"/>
      <c r="AC282" s="59"/>
      <c r="AD282" s="59"/>
      <c r="AE282" s="59"/>
      <c r="AF282" s="59"/>
      <c r="AG282" s="128">
        <f t="shared" si="949"/>
        <v>-4</v>
      </c>
      <c r="AH282" s="128">
        <f t="shared" si="950"/>
        <v>-5.3822902181778076</v>
      </c>
      <c r="AI282" s="128">
        <f t="shared" si="951"/>
        <v>1.7836978595946533</v>
      </c>
      <c r="AJ282" s="128">
        <f t="shared" si="945"/>
        <v>-3.5985923585831472</v>
      </c>
      <c r="AK282" s="128">
        <f t="shared" si="952"/>
        <v>2.8116155657229456</v>
      </c>
      <c r="AL282" s="61">
        <f t="shared" si="953"/>
        <v>5.6232311314458912</v>
      </c>
      <c r="AM282" s="59"/>
      <c r="AN282" s="59"/>
      <c r="AO282" s="59"/>
    </row>
    <row r="283" spans="1:45">
      <c r="A283" s="59"/>
      <c r="B283" s="140">
        <f t="shared" ref="B283" si="990">B278-5*B271</f>
        <v>183</v>
      </c>
      <c r="C283" s="18">
        <f t="shared" si="975"/>
        <v>162.89629500000001</v>
      </c>
      <c r="D283" s="140">
        <f t="shared" ref="D283" si="991">D278-5*D271</f>
        <v>30</v>
      </c>
      <c r="E283" s="63">
        <f t="shared" si="977"/>
        <v>91.528043815207823</v>
      </c>
      <c r="F283" s="140">
        <f t="shared" ref="F283" si="992">F278-5*F271</f>
        <v>160</v>
      </c>
      <c r="G283" s="63">
        <f t="shared" si="968"/>
        <v>27.056087630415647</v>
      </c>
      <c r="H283" s="63">
        <f>H278-5*H271</f>
        <v>-5</v>
      </c>
      <c r="I283" s="84">
        <f t="shared" si="979"/>
        <v>45.974478655807843</v>
      </c>
      <c r="J283" s="9">
        <f t="shared" si="933"/>
        <v>106.63176960201157</v>
      </c>
      <c r="K283" s="9">
        <f t="shared" si="969"/>
        <v>60.65729094620373</v>
      </c>
      <c r="L283" s="61"/>
      <c r="M283" s="84">
        <f t="shared" si="970"/>
        <v>-6.6913259065690482</v>
      </c>
      <c r="N283" s="44">
        <f t="shared" si="971"/>
        <v>2.212735963128047</v>
      </c>
      <c r="O283" s="84">
        <f t="shared" si="980"/>
        <v>-4.4785899434409941</v>
      </c>
      <c r="P283" s="62">
        <f t="shared" si="981"/>
        <v>67.249497989943649</v>
      </c>
      <c r="Q283" s="62">
        <f t="shared" si="972"/>
        <v>5</v>
      </c>
      <c r="R283" s="49">
        <f t="shared" si="940"/>
        <v>81.528792151292222</v>
      </c>
      <c r="S283" s="49">
        <f t="shared" si="941"/>
        <v>34.168231211845793</v>
      </c>
      <c r="T283" s="61">
        <f t="shared" si="982"/>
        <v>0</v>
      </c>
      <c r="U283" s="61">
        <f t="shared" si="973"/>
        <v>3.5280438152078233</v>
      </c>
      <c r="V283" s="61">
        <f t="shared" ref="V283" si="993">G283-G$248</f>
        <v>7.0560876304156466</v>
      </c>
      <c r="W283" s="59"/>
      <c r="X283" s="59"/>
      <c r="Y283" s="59"/>
      <c r="Z283" s="59"/>
      <c r="AA283" s="59"/>
      <c r="AB283" s="59"/>
      <c r="AC283" s="59"/>
      <c r="AD283" s="59"/>
      <c r="AE283" s="59"/>
      <c r="AF283" s="59"/>
      <c r="AG283" s="128">
        <f t="shared" si="949"/>
        <v>-5</v>
      </c>
      <c r="AH283" s="128">
        <f t="shared" si="950"/>
        <v>-6.6913259065690482</v>
      </c>
      <c r="AI283" s="128">
        <f t="shared" si="951"/>
        <v>2.212735963128047</v>
      </c>
      <c r="AJ283" s="128">
        <f t="shared" si="945"/>
        <v>-4.4785899434409941</v>
      </c>
      <c r="AK283" s="128">
        <f t="shared" si="952"/>
        <v>3.5280438152078233</v>
      </c>
      <c r="AL283" s="61">
        <f t="shared" si="953"/>
        <v>7.0560876304156466</v>
      </c>
      <c r="AM283" s="59"/>
      <c r="AN283" s="59"/>
      <c r="AO283" s="59"/>
    </row>
    <row r="284" spans="1:45">
      <c r="A284" s="12"/>
      <c r="B284" s="5"/>
      <c r="C284" s="19" t="s">
        <v>24</v>
      </c>
      <c r="D284" s="13"/>
      <c r="E284" s="13"/>
      <c r="F284" s="13"/>
      <c r="G284" s="13"/>
      <c r="H284" s="13"/>
      <c r="I284" s="13"/>
      <c r="J284" s="13"/>
      <c r="K284" s="12"/>
      <c r="L284" s="12"/>
      <c r="M284" s="108"/>
      <c r="N284" s="108"/>
      <c r="O284" s="108"/>
      <c r="P284" s="13"/>
      <c r="Q284" s="45"/>
      <c r="R284" s="108"/>
      <c r="S284" s="108"/>
      <c r="T284" s="13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31"/>
      <c r="AH284" s="132"/>
      <c r="AI284" s="132"/>
      <c r="AJ284" s="132"/>
      <c r="AK284" s="131"/>
      <c r="AL284" s="59"/>
      <c r="AM284" s="59"/>
      <c r="AN284" s="59"/>
      <c r="AO284" s="59"/>
    </row>
    <row r="285" spans="1:45" ht="18.75">
      <c r="A285" s="15" t="s">
        <v>125</v>
      </c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59"/>
      <c r="N285" s="59"/>
      <c r="O285" s="59"/>
      <c r="P285" s="59"/>
      <c r="Q285" s="59"/>
      <c r="R285" s="59"/>
      <c r="S285" s="59"/>
      <c r="T285" s="59"/>
      <c r="U285" s="59"/>
      <c r="V285" s="59"/>
      <c r="W285" s="59"/>
      <c r="X285" s="59"/>
      <c r="Y285" s="59"/>
      <c r="Z285" s="59"/>
      <c r="AA285" s="59"/>
      <c r="AB285" s="59"/>
      <c r="AC285" s="59"/>
      <c r="AD285" s="59"/>
      <c r="AE285" s="59"/>
      <c r="AF285" s="59"/>
      <c r="AG285" s="59"/>
      <c r="AH285" s="59"/>
      <c r="AI285" s="59"/>
      <c r="AJ285" s="59"/>
      <c r="AK285" s="59"/>
      <c r="AL285" s="59"/>
      <c r="AM285" s="59"/>
      <c r="AN285" s="59"/>
      <c r="AO285" s="59"/>
    </row>
    <row r="286" spans="1:45">
      <c r="A286" s="20"/>
      <c r="B286" s="20"/>
      <c r="C286" s="20"/>
      <c r="D286" s="20"/>
      <c r="E286" s="20"/>
      <c r="F286" s="20"/>
      <c r="G286" s="59"/>
      <c r="H286" s="59"/>
      <c r="I286" s="59"/>
      <c r="J286" s="59"/>
      <c r="K286" s="59"/>
      <c r="L286" s="59"/>
      <c r="M286" s="236" t="s">
        <v>14</v>
      </c>
      <c r="N286" s="237"/>
      <c r="O286" s="59"/>
      <c r="P286" s="59"/>
      <c r="Q286" s="59"/>
      <c r="R286" s="59"/>
      <c r="S286" s="59"/>
      <c r="T286" s="59"/>
      <c r="U286" s="59"/>
      <c r="V286" s="5"/>
      <c r="W286" s="59"/>
      <c r="X286" s="59"/>
      <c r="Y286" s="59"/>
      <c r="Z286" s="59"/>
      <c r="AA286" s="59"/>
      <c r="AB286" s="59"/>
      <c r="AC286" s="59"/>
      <c r="AD286" s="59"/>
      <c r="AE286" s="59"/>
      <c r="AF286" s="59"/>
      <c r="AG286" s="35"/>
      <c r="AH286" s="35"/>
      <c r="AI286" s="35"/>
      <c r="AJ286" s="35"/>
      <c r="AK286" s="35"/>
      <c r="AL286" s="59"/>
      <c r="AM286" s="59"/>
      <c r="AN286" s="59"/>
      <c r="AO286" s="59"/>
    </row>
    <row r="287" spans="1:45" ht="146.25" customHeight="1">
      <c r="A287" s="27"/>
      <c r="B287" s="28" t="s">
        <v>12</v>
      </c>
      <c r="C287" s="28" t="s">
        <v>8</v>
      </c>
      <c r="D287" s="65" t="s">
        <v>42</v>
      </c>
      <c r="E287" s="28" t="s">
        <v>3</v>
      </c>
      <c r="F287" s="28" t="s">
        <v>4</v>
      </c>
      <c r="G287" s="28" t="s">
        <v>41</v>
      </c>
      <c r="H287" s="65" t="s">
        <v>1</v>
      </c>
      <c r="I287" s="65" t="s">
        <v>6</v>
      </c>
      <c r="J287" s="65" t="s">
        <v>5</v>
      </c>
      <c r="K287" s="66" t="s">
        <v>20</v>
      </c>
      <c r="L287" s="31" t="s">
        <v>49</v>
      </c>
      <c r="M287" s="31" t="s">
        <v>112</v>
      </c>
      <c r="N287" s="28" t="s">
        <v>18</v>
      </c>
      <c r="O287" s="28" t="s">
        <v>19</v>
      </c>
      <c r="P287" s="32" t="s">
        <v>25</v>
      </c>
      <c r="Q287" s="28" t="s">
        <v>27</v>
      </c>
      <c r="R287" s="67" t="s">
        <v>26</v>
      </c>
      <c r="S287" s="28" t="s">
        <v>28</v>
      </c>
      <c r="T287" s="28" t="s">
        <v>33</v>
      </c>
      <c r="U287" s="28" t="s">
        <v>34</v>
      </c>
      <c r="V287" s="28" t="s">
        <v>30</v>
      </c>
      <c r="W287" s="28" t="s">
        <v>43</v>
      </c>
      <c r="X287" s="65" t="s">
        <v>29</v>
      </c>
      <c r="Y287" s="28" t="s">
        <v>32</v>
      </c>
      <c r="Z287" s="66" t="s">
        <v>31</v>
      </c>
      <c r="AA287" s="66" t="s">
        <v>35</v>
      </c>
      <c r="AB287" s="28" t="s">
        <v>36</v>
      </c>
      <c r="AC287" s="66" t="s">
        <v>37</v>
      </c>
      <c r="AD287" s="66" t="s">
        <v>48</v>
      </c>
      <c r="AE287" s="68" t="s">
        <v>38</v>
      </c>
      <c r="AF287" s="35"/>
      <c r="AG287" s="133" t="str">
        <f>H272</f>
        <v>Stretcher movement to stern (cm)</v>
      </c>
      <c r="AH287" s="28" t="s">
        <v>113</v>
      </c>
      <c r="AI287" s="28" t="s">
        <v>114</v>
      </c>
      <c r="AJ287" s="28" t="s">
        <v>115</v>
      </c>
      <c r="AK287" s="28" t="str">
        <f>AK272</f>
        <v>Change in inboard (cm)</v>
      </c>
      <c r="AL287" s="157" t="str">
        <f>V272</f>
        <v>change in overlap (cm)</v>
      </c>
      <c r="AM287" s="59"/>
      <c r="AN287" s="59"/>
      <c r="AS287" s="136" t="s">
        <v>170</v>
      </c>
    </row>
    <row r="288" spans="1:45">
      <c r="A288" s="5"/>
      <c r="B288" s="20">
        <f>B273</f>
        <v>183</v>
      </c>
      <c r="C288" s="18">
        <f t="shared" ref="C288:C292" si="994">100*(0.297865*B288/100+1.08387)</f>
        <v>162.89629500000001</v>
      </c>
      <c r="D288" s="63">
        <f>D273</f>
        <v>30</v>
      </c>
      <c r="E288" s="63">
        <f t="shared" ref="E288:G288" si="995">E273</f>
        <v>84.617001911290842</v>
      </c>
      <c r="F288" s="63">
        <f t="shared" si="995"/>
        <v>160</v>
      </c>
      <c r="G288" s="63">
        <f t="shared" si="995"/>
        <v>13.234003822581684</v>
      </c>
      <c r="H288" s="146">
        <f t="shared" ref="H288:H292" si="996">DEGREES(ACOS((F288-D288)/2/(E288+2)))</f>
        <v>41.372357186783567</v>
      </c>
      <c r="I288" s="20"/>
      <c r="J288" s="63"/>
      <c r="K288" s="69">
        <f t="shared" ref="K288:K292" si="997">H288-H$293</f>
        <v>-2.3893855058962288</v>
      </c>
      <c r="L288" s="63">
        <f>P273</f>
        <v>57.249497989943649</v>
      </c>
      <c r="M288" s="83">
        <f t="shared" ref="M288:M293" si="998">L288-L$293</f>
        <v>-5</v>
      </c>
      <c r="N288" s="61"/>
      <c r="O288" s="61"/>
      <c r="P288" s="23">
        <f>P$293</f>
        <v>1</v>
      </c>
      <c r="Q288" s="20">
        <f t="shared" ref="Q288:Q298" si="999">B288 *P288</f>
        <v>183</v>
      </c>
      <c r="R288" s="23">
        <f>R$293</f>
        <v>0.25</v>
      </c>
      <c r="S288" s="61">
        <f>Q288*R288</f>
        <v>45.75</v>
      </c>
      <c r="T288" s="61">
        <f>S288/2</f>
        <v>22.875</v>
      </c>
      <c r="U288" s="61">
        <f t="shared" ref="U288:U298" si="1000">F288/2 -S288/2</f>
        <v>57.125</v>
      </c>
      <c r="V288" s="61"/>
      <c r="W288" s="61">
        <f t="shared" ref="W288:W292" si="1001">COS(RADIANS(17))*((Q288-S288)/2 -8)</f>
        <v>57.975975830259024</v>
      </c>
      <c r="X288" s="61">
        <f>X$293-M288</f>
        <v>34.610828964718017</v>
      </c>
      <c r="Y288" s="61">
        <f>SQRT(X288*X288+U288*U288)</f>
        <v>66.792028765601685</v>
      </c>
      <c r="Z288" s="69">
        <f>DEGREES(ASIN(X288/Y288))</f>
        <v>31.210785588364914</v>
      </c>
      <c r="AA288" s="69">
        <f t="shared" ref="AA288:AA298" si="1002">DEGREES(ACOS(((E288+2)*(E288+2)+(Y288*Y288)-(W288*W288))/(2*(E288+2)*(Y288))))</f>
        <v>41.971891197844997</v>
      </c>
      <c r="AB288" s="4">
        <f t="shared" ref="AB288:AB298" si="1003">Z288+AA288</f>
        <v>73.18267678620991</v>
      </c>
      <c r="AC288" s="70">
        <f>AB288-AB$293</f>
        <v>5.8340599334371177</v>
      </c>
      <c r="AD288" s="69">
        <f>AB288+H288</f>
        <v>114.55503397299347</v>
      </c>
      <c r="AE288" s="71">
        <f t="shared" ref="AE288:AE293" si="1004">H288+AB288-I$293</f>
        <v>3.4446744275409031</v>
      </c>
      <c r="AF288" s="59"/>
      <c r="AG288" s="128">
        <f>H273</f>
        <v>5</v>
      </c>
      <c r="AH288" s="128">
        <f t="shared" ref="AH288:AH298" si="1005">AC288</f>
        <v>5.8340599334371177</v>
      </c>
      <c r="AI288" s="128">
        <f>K288</f>
        <v>-2.3893855058962288</v>
      </c>
      <c r="AJ288" s="128">
        <f t="shared" ref="AJ288:AJ298" si="1006">AE288</f>
        <v>3.4446744275409031</v>
      </c>
      <c r="AK288" s="128">
        <f>U273</f>
        <v>-3.382998088709158</v>
      </c>
      <c r="AL288" s="61">
        <f>V273</f>
        <v>-6.7659961774183159</v>
      </c>
      <c r="AM288" s="59"/>
      <c r="AN288" s="59"/>
      <c r="AS288" s="61">
        <f t="shared" ref="AS288:AS298" si="1007">L288+X288</f>
        <v>91.860326954661673</v>
      </c>
    </row>
    <row r="289" spans="1:45">
      <c r="A289" s="59"/>
      <c r="B289" s="20">
        <f t="shared" ref="B289:B298" si="1008">B274</f>
        <v>183</v>
      </c>
      <c r="C289" s="18">
        <f t="shared" si="994"/>
        <v>162.89629500000001</v>
      </c>
      <c r="D289" s="63">
        <f t="shared" ref="D289:G289" si="1009">D274</f>
        <v>30</v>
      </c>
      <c r="E289" s="63">
        <f t="shared" si="1009"/>
        <v>85.281177902686707</v>
      </c>
      <c r="F289" s="63">
        <f t="shared" si="1009"/>
        <v>160</v>
      </c>
      <c r="G289" s="63">
        <f t="shared" si="1009"/>
        <v>14.562355805373414</v>
      </c>
      <c r="H289" s="146">
        <f t="shared" si="996"/>
        <v>41.864983486772097</v>
      </c>
      <c r="I289" s="20"/>
      <c r="J289" s="63"/>
      <c r="K289" s="69">
        <f t="shared" si="997"/>
        <v>-1.8967592059076992</v>
      </c>
      <c r="L289" s="63">
        <f t="shared" ref="L289:L298" si="1010">P274</f>
        <v>58.249497989943649</v>
      </c>
      <c r="M289" s="83">
        <f t="shared" si="998"/>
        <v>-4</v>
      </c>
      <c r="N289" s="61"/>
      <c r="O289" s="61"/>
      <c r="P289" s="23">
        <f t="shared" ref="P289:P292" si="1011">P$293</f>
        <v>1</v>
      </c>
      <c r="Q289" s="20">
        <f t="shared" si="999"/>
        <v>183</v>
      </c>
      <c r="R289" s="23">
        <f t="shared" ref="R289:R292" si="1012">R$293</f>
        <v>0.25</v>
      </c>
      <c r="S289" s="61">
        <f>Q289*R289</f>
        <v>45.75</v>
      </c>
      <c r="T289" s="61">
        <f>S289/2</f>
        <v>22.875</v>
      </c>
      <c r="U289" s="61">
        <f t="shared" si="1000"/>
        <v>57.125</v>
      </c>
      <c r="V289" s="61"/>
      <c r="W289" s="61">
        <f t="shared" si="1001"/>
        <v>57.975975830259024</v>
      </c>
      <c r="X289" s="61">
        <f t="shared" ref="X289:X292" si="1013">X$293-M289</f>
        <v>33.610828964718017</v>
      </c>
      <c r="Y289" s="61">
        <f>SQRT(X289*X289+U289*U289)</f>
        <v>66.279359145178276</v>
      </c>
      <c r="Z289" s="69">
        <f>DEGREES(ASIN(X289/Y289))</f>
        <v>30.471422163124423</v>
      </c>
      <c r="AA289" s="69">
        <f t="shared" si="1002"/>
        <v>41.616341902609591</v>
      </c>
      <c r="AB289" s="4">
        <f t="shared" si="1003"/>
        <v>72.087764065734007</v>
      </c>
      <c r="AC289" s="70">
        <f t="shared" ref="AC289:AC293" si="1014">AB289-AB$293</f>
        <v>4.739147212961214</v>
      </c>
      <c r="AD289" s="69">
        <f t="shared" ref="AD289:AD298" si="1015">AB289+H289</f>
        <v>113.95274755250611</v>
      </c>
      <c r="AE289" s="71">
        <f t="shared" si="1004"/>
        <v>2.8423880070535432</v>
      </c>
      <c r="AF289" s="59"/>
      <c r="AG289" s="128">
        <f t="shared" ref="AG289:AG298" si="1016">H274</f>
        <v>4</v>
      </c>
      <c r="AH289" s="128">
        <f t="shared" si="1005"/>
        <v>4.739147212961214</v>
      </c>
      <c r="AI289" s="128">
        <f t="shared" ref="AI289:AI298" si="1017">K289</f>
        <v>-1.8967592059076992</v>
      </c>
      <c r="AJ289" s="128">
        <f t="shared" si="1006"/>
        <v>2.8423880070535432</v>
      </c>
      <c r="AK289" s="128">
        <f t="shared" ref="AK289:AK298" si="1018">U274</f>
        <v>-2.7188220973132928</v>
      </c>
      <c r="AL289" s="61">
        <f t="shared" ref="AL289:AL298" si="1019">V274</f>
        <v>-5.4376441946265857</v>
      </c>
      <c r="AM289" s="59"/>
      <c r="AN289" s="59"/>
      <c r="AS289" s="61">
        <f t="shared" si="1007"/>
        <v>91.860326954661673</v>
      </c>
    </row>
    <row r="290" spans="1:45">
      <c r="A290" s="59"/>
      <c r="B290" s="20">
        <f t="shared" si="1008"/>
        <v>183</v>
      </c>
      <c r="C290" s="18">
        <f t="shared" si="994"/>
        <v>162.89629500000001</v>
      </c>
      <c r="D290" s="63">
        <f t="shared" ref="D290:G290" si="1020">D275</f>
        <v>30</v>
      </c>
      <c r="E290" s="63">
        <f t="shared" si="1020"/>
        <v>85.951708408991905</v>
      </c>
      <c r="F290" s="63">
        <f t="shared" si="1020"/>
        <v>160</v>
      </c>
      <c r="G290" s="63">
        <f t="shared" si="1020"/>
        <v>15.90341681798381</v>
      </c>
      <c r="H290" s="146">
        <f t="shared" si="996"/>
        <v>42.35013378235935</v>
      </c>
      <c r="I290" s="20"/>
      <c r="J290" s="63"/>
      <c r="K290" s="69">
        <f t="shared" si="997"/>
        <v>-1.4116089103204459</v>
      </c>
      <c r="L290" s="63">
        <f t="shared" si="1010"/>
        <v>59.249497989943649</v>
      </c>
      <c r="M290" s="83">
        <f t="shared" si="998"/>
        <v>-3</v>
      </c>
      <c r="N290" s="61"/>
      <c r="O290" s="61"/>
      <c r="P290" s="23">
        <f t="shared" si="1011"/>
        <v>1</v>
      </c>
      <c r="Q290" s="20">
        <f t="shared" si="999"/>
        <v>183</v>
      </c>
      <c r="R290" s="23">
        <f t="shared" si="1012"/>
        <v>0.25</v>
      </c>
      <c r="S290" s="61">
        <f t="shared" ref="S290:S292" si="1021">Q290*R290</f>
        <v>45.75</v>
      </c>
      <c r="T290" s="61">
        <f t="shared" ref="T290:T292" si="1022">S290/2</f>
        <v>22.875</v>
      </c>
      <c r="U290" s="61">
        <f t="shared" si="1000"/>
        <v>57.125</v>
      </c>
      <c r="V290" s="61"/>
      <c r="W290" s="61">
        <f t="shared" si="1001"/>
        <v>57.975975830259024</v>
      </c>
      <c r="X290" s="61">
        <f t="shared" si="1013"/>
        <v>32.610828964718017</v>
      </c>
      <c r="Y290" s="61">
        <f>SQRT(X290*X290+U290*U290)</f>
        <v>65.77789743345474</v>
      </c>
      <c r="Z290" s="69">
        <f>DEGREES(ASIN(X290/Y290))</f>
        <v>29.720658948061111</v>
      </c>
      <c r="AA290" s="69">
        <f t="shared" si="1002"/>
        <v>41.236361389940797</v>
      </c>
      <c r="AB290" s="4">
        <f t="shared" si="1003"/>
        <v>70.957020338001911</v>
      </c>
      <c r="AC290" s="70">
        <f t="shared" si="1014"/>
        <v>3.6084034852291182</v>
      </c>
      <c r="AD290" s="69">
        <f t="shared" si="1015"/>
        <v>113.30715412036126</v>
      </c>
      <c r="AE290" s="71">
        <f t="shared" si="1004"/>
        <v>2.1967945749086937</v>
      </c>
      <c r="AF290" s="59"/>
      <c r="AG290" s="128">
        <f t="shared" si="1016"/>
        <v>3</v>
      </c>
      <c r="AH290" s="128">
        <f t="shared" si="1005"/>
        <v>3.6084034852291182</v>
      </c>
      <c r="AI290" s="128">
        <f t="shared" si="1017"/>
        <v>-1.4116089103204459</v>
      </c>
      <c r="AJ290" s="128">
        <f t="shared" si="1006"/>
        <v>2.1967945749086937</v>
      </c>
      <c r="AK290" s="128">
        <f t="shared" si="1018"/>
        <v>-2.0482915910080948</v>
      </c>
      <c r="AL290" s="61">
        <f t="shared" si="1019"/>
        <v>-4.0965831820161895</v>
      </c>
      <c r="AM290" s="59"/>
      <c r="AN290" s="59"/>
      <c r="AS290" s="61">
        <f t="shared" si="1007"/>
        <v>91.860326954661673</v>
      </c>
    </row>
    <row r="291" spans="1:45">
      <c r="A291" s="59"/>
      <c r="B291" s="20">
        <f t="shared" si="1008"/>
        <v>183</v>
      </c>
      <c r="C291" s="18">
        <f t="shared" si="994"/>
        <v>162.89629500000001</v>
      </c>
      <c r="D291" s="63">
        <f t="shared" ref="D291:G291" si="1023">D276</f>
        <v>30</v>
      </c>
      <c r="E291" s="63">
        <f t="shared" si="1023"/>
        <v>86.628449202500562</v>
      </c>
      <c r="F291" s="63">
        <f t="shared" si="1023"/>
        <v>160</v>
      </c>
      <c r="G291" s="63">
        <f t="shared" si="1023"/>
        <v>17.256898405001124</v>
      </c>
      <c r="H291" s="146">
        <f t="shared" si="996"/>
        <v>42.827908970488849</v>
      </c>
      <c r="I291" s="20"/>
      <c r="J291" s="63"/>
      <c r="K291" s="69">
        <f t="shared" si="997"/>
        <v>-0.93383372219094696</v>
      </c>
      <c r="L291" s="63">
        <f t="shared" si="1010"/>
        <v>60.249497989943649</v>
      </c>
      <c r="M291" s="83">
        <f t="shared" si="998"/>
        <v>-2</v>
      </c>
      <c r="N291" s="61"/>
      <c r="O291" s="61"/>
      <c r="P291" s="23">
        <f t="shared" si="1011"/>
        <v>1</v>
      </c>
      <c r="Q291" s="20">
        <f t="shared" si="999"/>
        <v>183</v>
      </c>
      <c r="R291" s="23">
        <f t="shared" si="1012"/>
        <v>0.25</v>
      </c>
      <c r="S291" s="61">
        <f t="shared" si="1021"/>
        <v>45.75</v>
      </c>
      <c r="T291" s="61">
        <f t="shared" si="1022"/>
        <v>22.875</v>
      </c>
      <c r="U291" s="61">
        <f t="shared" si="1000"/>
        <v>57.125</v>
      </c>
      <c r="V291" s="61"/>
      <c r="W291" s="61">
        <f t="shared" si="1001"/>
        <v>57.975975830259024</v>
      </c>
      <c r="X291" s="61">
        <f t="shared" si="1013"/>
        <v>31.610828964718017</v>
      </c>
      <c r="Y291" s="61">
        <f t="shared" ref="Y291:Y292" si="1024">SQRT(X291*X291+U291*U291)</f>
        <v>65.287901887230646</v>
      </c>
      <c r="Z291" s="69">
        <f t="shared" ref="Z291:Z292" si="1025">DEGREES(ASIN(X291/Y291))</f>
        <v>28.958494030750817</v>
      </c>
      <c r="AA291" s="69">
        <f t="shared" si="1002"/>
        <v>40.831826356922292</v>
      </c>
      <c r="AB291" s="4">
        <f t="shared" si="1003"/>
        <v>69.790320387673106</v>
      </c>
      <c r="AC291" s="70">
        <f t="shared" si="1014"/>
        <v>2.4417035349003129</v>
      </c>
      <c r="AD291" s="69">
        <f t="shared" si="1015"/>
        <v>112.61822935816195</v>
      </c>
      <c r="AE291" s="71">
        <f t="shared" si="1004"/>
        <v>1.5078698127093872</v>
      </c>
      <c r="AF291" s="59"/>
      <c r="AG291" s="128">
        <f t="shared" si="1016"/>
        <v>2</v>
      </c>
      <c r="AH291" s="128">
        <f t="shared" si="1005"/>
        <v>2.4417035349003129</v>
      </c>
      <c r="AI291" s="128">
        <f t="shared" si="1017"/>
        <v>-0.93383372219094696</v>
      </c>
      <c r="AJ291" s="128">
        <f t="shared" si="1006"/>
        <v>1.5078698127093872</v>
      </c>
      <c r="AK291" s="128">
        <f t="shared" si="1018"/>
        <v>-1.3715507974994381</v>
      </c>
      <c r="AL291" s="61">
        <f t="shared" si="1019"/>
        <v>-2.7431015949988762</v>
      </c>
      <c r="AM291" s="59"/>
      <c r="AN291" s="59"/>
      <c r="AS291" s="61">
        <f t="shared" si="1007"/>
        <v>91.860326954661673</v>
      </c>
    </row>
    <row r="292" spans="1:45">
      <c r="A292" s="59"/>
      <c r="B292" s="20">
        <f t="shared" si="1008"/>
        <v>183</v>
      </c>
      <c r="C292" s="18">
        <f t="shared" si="994"/>
        <v>162.89629500000001</v>
      </c>
      <c r="D292" s="63">
        <f t="shared" ref="D292:G292" si="1026">D277</f>
        <v>30</v>
      </c>
      <c r="E292" s="63">
        <f t="shared" si="1026"/>
        <v>87.31125911115636</v>
      </c>
      <c r="F292" s="63">
        <f t="shared" si="1026"/>
        <v>160</v>
      </c>
      <c r="G292" s="63">
        <f t="shared" si="1026"/>
        <v>18.622518222312721</v>
      </c>
      <c r="H292" s="146">
        <f t="shared" si="996"/>
        <v>43.298411007248887</v>
      </c>
      <c r="I292" s="20"/>
      <c r="J292" s="63"/>
      <c r="K292" s="69">
        <f t="shared" si="997"/>
        <v>-0.46333168543090864</v>
      </c>
      <c r="L292" s="63">
        <f t="shared" si="1010"/>
        <v>61.249497989943649</v>
      </c>
      <c r="M292" s="83">
        <f t="shared" si="998"/>
        <v>-1</v>
      </c>
      <c r="N292" s="61"/>
      <c r="O292" s="61"/>
      <c r="P292" s="23">
        <f t="shared" si="1011"/>
        <v>1</v>
      </c>
      <c r="Q292" s="20">
        <f t="shared" si="999"/>
        <v>183</v>
      </c>
      <c r="R292" s="23">
        <f t="shared" si="1012"/>
        <v>0.25</v>
      </c>
      <c r="S292" s="61">
        <f t="shared" si="1021"/>
        <v>45.75</v>
      </c>
      <c r="T292" s="61">
        <f t="shared" si="1022"/>
        <v>22.875</v>
      </c>
      <c r="U292" s="61">
        <f t="shared" si="1000"/>
        <v>57.125</v>
      </c>
      <c r="V292" s="61"/>
      <c r="W292" s="61">
        <f t="shared" si="1001"/>
        <v>57.975975830259024</v>
      </c>
      <c r="X292" s="61">
        <f t="shared" si="1013"/>
        <v>30.610828964718017</v>
      </c>
      <c r="Y292" s="61">
        <f t="shared" si="1024"/>
        <v>64.809632578091509</v>
      </c>
      <c r="Z292" s="69">
        <f t="shared" si="1025"/>
        <v>28.184941577572072</v>
      </c>
      <c r="AA292" s="69">
        <f t="shared" si="1002"/>
        <v>40.402610677695613</v>
      </c>
      <c r="AB292" s="4">
        <f t="shared" si="1003"/>
        <v>68.587552255267681</v>
      </c>
      <c r="AC292" s="70">
        <f t="shared" si="1014"/>
        <v>1.2389354024948886</v>
      </c>
      <c r="AD292" s="69">
        <f t="shared" si="1015"/>
        <v>111.88596326251657</v>
      </c>
      <c r="AE292" s="71">
        <f t="shared" si="1004"/>
        <v>0.77560371706400133</v>
      </c>
      <c r="AF292" s="59"/>
      <c r="AG292" s="128">
        <f t="shared" si="1016"/>
        <v>1</v>
      </c>
      <c r="AH292" s="128">
        <f t="shared" si="1005"/>
        <v>1.2389354024948886</v>
      </c>
      <c r="AI292" s="128">
        <f t="shared" si="1017"/>
        <v>-0.46333168543090864</v>
      </c>
      <c r="AJ292" s="128">
        <f t="shared" si="1006"/>
        <v>0.77560371706400133</v>
      </c>
      <c r="AK292" s="128">
        <f t="shared" si="1018"/>
        <v>-0.68874088884363971</v>
      </c>
      <c r="AL292" s="61">
        <f t="shared" si="1019"/>
        <v>-1.3774817776872794</v>
      </c>
      <c r="AM292" s="59"/>
      <c r="AN292" s="59"/>
      <c r="AS292" s="61">
        <f t="shared" si="1007"/>
        <v>91.860326954661673</v>
      </c>
    </row>
    <row r="293" spans="1:45">
      <c r="A293" s="15"/>
      <c r="B293" s="20">
        <f t="shared" si="1008"/>
        <v>183</v>
      </c>
      <c r="C293" s="37">
        <f>100*(0.297865*B293/100+1.08387)</f>
        <v>162.89629500000001</v>
      </c>
      <c r="D293" s="63">
        <f t="shared" ref="D293:G293" si="1027">D278</f>
        <v>30</v>
      </c>
      <c r="E293" s="63">
        <f t="shared" si="1027"/>
        <v>88</v>
      </c>
      <c r="F293" s="63">
        <f t="shared" si="1027"/>
        <v>160</v>
      </c>
      <c r="G293" s="63">
        <f t="shared" si="1027"/>
        <v>20</v>
      </c>
      <c r="H293" s="146">
        <f>DEGREES(ACOS((F293-D293)/2/(E293+2)))</f>
        <v>43.761742692679796</v>
      </c>
      <c r="I293" s="120">
        <f>DEGREES(C293/(E293-6+2))</f>
        <v>111.11035954545257</v>
      </c>
      <c r="J293" s="40">
        <f>I293-H293</f>
        <v>67.348616852772778</v>
      </c>
      <c r="K293" s="69">
        <f>H293-H$293</f>
        <v>0</v>
      </c>
      <c r="L293" s="63">
        <f t="shared" si="1010"/>
        <v>62.249497989943649</v>
      </c>
      <c r="M293" s="83">
        <f t="shared" si="998"/>
        <v>0</v>
      </c>
      <c r="N293" s="39">
        <f>(E293+2)*SIN(RADIANS(J293))</f>
        <v>83.057868711361749</v>
      </c>
      <c r="O293" s="39">
        <f>(F293/2)- (E293+2)*COS(RADIANS(J293))</f>
        <v>45.338920312168661</v>
      </c>
      <c r="P293" s="42">
        <v>1</v>
      </c>
      <c r="Q293" s="43">
        <f t="shared" si="999"/>
        <v>183</v>
      </c>
      <c r="R293" s="42">
        <v>0.25</v>
      </c>
      <c r="S293" s="39">
        <f>Q293*R293</f>
        <v>45.75</v>
      </c>
      <c r="T293" s="39">
        <f>S293/2</f>
        <v>22.875</v>
      </c>
      <c r="U293" s="39">
        <f t="shared" si="1000"/>
        <v>57.125</v>
      </c>
      <c r="V293" s="39">
        <f>O293-T293</f>
        <v>22.463920312168661</v>
      </c>
      <c r="W293" s="39">
        <f>COS(RADIANS(17))*((Q293-S293)/2-8)</f>
        <v>57.975975830259024</v>
      </c>
      <c r="X293" s="40">
        <f xml:space="preserve"> N293- SQRT(W293*W293-V293*V293)</f>
        <v>29.610828964718017</v>
      </c>
      <c r="Y293" s="39">
        <f>SQRT(X293*X293+U293*U293)</f>
        <v>64.343350992762126</v>
      </c>
      <c r="Z293" s="70">
        <f>DEGREES(ASIN(X293/Y293))</f>
        <v>27.400032783288204</v>
      </c>
      <c r="AA293" s="70">
        <f t="shared" si="1002"/>
        <v>39.948584069484589</v>
      </c>
      <c r="AB293" s="52">
        <f t="shared" si="1003"/>
        <v>67.348616852772793</v>
      </c>
      <c r="AC293" s="70">
        <f t="shared" si="1014"/>
        <v>0</v>
      </c>
      <c r="AD293" s="70">
        <f t="shared" si="1015"/>
        <v>111.11035954545258</v>
      </c>
      <c r="AE293" s="71">
        <f t="shared" si="1004"/>
        <v>0</v>
      </c>
      <c r="AF293" s="15"/>
      <c r="AG293" s="128">
        <f t="shared" si="1016"/>
        <v>0</v>
      </c>
      <c r="AH293" s="128">
        <f t="shared" si="1005"/>
        <v>0</v>
      </c>
      <c r="AI293" s="128">
        <f t="shared" si="1017"/>
        <v>0</v>
      </c>
      <c r="AJ293" s="128">
        <f t="shared" si="1006"/>
        <v>0</v>
      </c>
      <c r="AK293" s="128">
        <f t="shared" si="1018"/>
        <v>0</v>
      </c>
      <c r="AL293" s="61">
        <f t="shared" si="1019"/>
        <v>0</v>
      </c>
      <c r="AM293" s="59"/>
      <c r="AN293" s="59"/>
      <c r="AS293" s="61">
        <f t="shared" si="1007"/>
        <v>91.860326954661673</v>
      </c>
    </row>
    <row r="294" spans="1:45">
      <c r="A294" s="5"/>
      <c r="B294" s="20">
        <f t="shared" si="1008"/>
        <v>183</v>
      </c>
      <c r="C294" s="18">
        <f t="shared" ref="C294:C298" si="1028">100*(0.297865*B294/100+1.08387)</f>
        <v>162.89629500000001</v>
      </c>
      <c r="D294" s="63">
        <f t="shared" ref="D294:G294" si="1029">D279</f>
        <v>30</v>
      </c>
      <c r="E294" s="63">
        <f t="shared" si="1029"/>
        <v>88.694536748251195</v>
      </c>
      <c r="F294" s="63">
        <f t="shared" si="1029"/>
        <v>160</v>
      </c>
      <c r="G294" s="63">
        <f t="shared" si="1029"/>
        <v>21.389073496502391</v>
      </c>
      <c r="H294" s="146">
        <f t="shared" ref="H294:H298" si="1030">DEGREES(ACOS((F294-D294)/2/(E294+2)))</f>
        <v>44.218007469396433</v>
      </c>
      <c r="I294" s="20"/>
      <c r="J294" s="63"/>
      <c r="K294" s="69">
        <f t="shared" ref="K294:K298" si="1031">H294-H$293</f>
        <v>0.45626477671663679</v>
      </c>
      <c r="L294" s="63">
        <f t="shared" si="1010"/>
        <v>63.249497989943649</v>
      </c>
      <c r="M294" s="83">
        <f>L294-L$293</f>
        <v>1</v>
      </c>
      <c r="N294" s="61"/>
      <c r="O294" s="61"/>
      <c r="P294" s="23">
        <f>P$293</f>
        <v>1</v>
      </c>
      <c r="Q294" s="20">
        <f t="shared" si="999"/>
        <v>183</v>
      </c>
      <c r="R294" s="23">
        <f>R$293</f>
        <v>0.25</v>
      </c>
      <c r="S294" s="61">
        <f>Q294*R294</f>
        <v>45.75</v>
      </c>
      <c r="T294" s="61">
        <f>S294/2</f>
        <v>22.875</v>
      </c>
      <c r="U294" s="61">
        <f t="shared" si="1000"/>
        <v>57.125</v>
      </c>
      <c r="V294" s="61"/>
      <c r="W294" s="61">
        <f t="shared" ref="W294:W298" si="1032">COS(RADIANS(17))*((Q294-S294)/2 -8)</f>
        <v>57.975975830259024</v>
      </c>
      <c r="X294" s="61">
        <f>X$293-M294</f>
        <v>28.610828964718017</v>
      </c>
      <c r="Y294" s="61">
        <f>SQRT(X294*X294+U294*U294)</f>
        <v>63.889319600762278</v>
      </c>
      <c r="Z294" s="69">
        <f>DEGREES(ASIN(X294/Y294))</f>
        <v>26.603816810794605</v>
      </c>
      <c r="AA294" s="69">
        <f t="shared" si="1002"/>
        <v>39.469610461894895</v>
      </c>
      <c r="AB294" s="4">
        <f t="shared" si="1003"/>
        <v>66.0734272726895</v>
      </c>
      <c r="AC294" s="70">
        <f>AB294-AB$293</f>
        <v>-1.2751895800832926</v>
      </c>
      <c r="AD294" s="69">
        <f t="shared" si="1015"/>
        <v>110.29143474208593</v>
      </c>
      <c r="AE294" s="71">
        <f>H294+AB294-I$293</f>
        <v>-0.81892480336664164</v>
      </c>
      <c r="AF294" s="59"/>
      <c r="AG294" s="128">
        <f t="shared" si="1016"/>
        <v>-1</v>
      </c>
      <c r="AH294" s="128">
        <f t="shared" si="1005"/>
        <v>-1.2751895800832926</v>
      </c>
      <c r="AI294" s="128">
        <f t="shared" si="1017"/>
        <v>0.45626477671663679</v>
      </c>
      <c r="AJ294" s="128">
        <f t="shared" si="1006"/>
        <v>-0.81892480336664164</v>
      </c>
      <c r="AK294" s="128">
        <f t="shared" si="1018"/>
        <v>0.69453674825119549</v>
      </c>
      <c r="AL294" s="61">
        <f t="shared" si="1019"/>
        <v>1.389073496502391</v>
      </c>
      <c r="AM294" s="59"/>
      <c r="AN294" s="59"/>
      <c r="AS294" s="61">
        <f t="shared" si="1007"/>
        <v>91.860326954661673</v>
      </c>
    </row>
    <row r="295" spans="1:45">
      <c r="A295" s="59"/>
      <c r="B295" s="20">
        <f t="shared" si="1008"/>
        <v>183</v>
      </c>
      <c r="C295" s="18">
        <f t="shared" si="1028"/>
        <v>162.89629500000001</v>
      </c>
      <c r="D295" s="63">
        <f t="shared" ref="D295:G295" si="1033">D280</f>
        <v>30</v>
      </c>
      <c r="E295" s="63">
        <f t="shared" si="1033"/>
        <v>89.394737222444988</v>
      </c>
      <c r="F295" s="63">
        <f t="shared" si="1033"/>
        <v>160</v>
      </c>
      <c r="G295" s="63">
        <f t="shared" si="1033"/>
        <v>22.789474444889976</v>
      </c>
      <c r="H295" s="146">
        <f t="shared" si="1030"/>
        <v>44.667309234539637</v>
      </c>
      <c r="I295" s="20"/>
      <c r="J295" s="63"/>
      <c r="K295" s="69">
        <f t="shared" si="1031"/>
        <v>0.90556654185984087</v>
      </c>
      <c r="L295" s="63">
        <f t="shared" si="1010"/>
        <v>64.249497989943649</v>
      </c>
      <c r="M295" s="83">
        <f t="shared" ref="M295:M298" si="1034">L295-L$293</f>
        <v>2</v>
      </c>
      <c r="N295" s="61"/>
      <c r="O295" s="61"/>
      <c r="P295" s="23">
        <f t="shared" ref="P295:P298" si="1035">P$293</f>
        <v>1</v>
      </c>
      <c r="Q295" s="20">
        <f t="shared" si="999"/>
        <v>183</v>
      </c>
      <c r="R295" s="23">
        <f t="shared" ref="R295:R298" si="1036">R$293</f>
        <v>0.25</v>
      </c>
      <c r="S295" s="61">
        <f>Q295*R295</f>
        <v>45.75</v>
      </c>
      <c r="T295" s="61">
        <f>S295/2</f>
        <v>22.875</v>
      </c>
      <c r="U295" s="61">
        <f t="shared" si="1000"/>
        <v>57.125</v>
      </c>
      <c r="V295" s="61"/>
      <c r="W295" s="61">
        <f t="shared" si="1032"/>
        <v>57.975975830259024</v>
      </c>
      <c r="X295" s="61">
        <f t="shared" ref="X295:X298" si="1037">X$293-M295</f>
        <v>27.610828964718017</v>
      </c>
      <c r="Y295" s="61">
        <f>SQRT(X295*X295+U295*U295)</f>
        <v>63.447801389164866</v>
      </c>
      <c r="Z295" s="69">
        <f>DEGREES(ASIN(X295/Y295))</f>
        <v>25.796361713171763</v>
      </c>
      <c r="AA295" s="69">
        <f t="shared" si="1002"/>
        <v>38.965546008258514</v>
      </c>
      <c r="AB295" s="4">
        <f t="shared" si="1003"/>
        <v>64.761907721430276</v>
      </c>
      <c r="AC295" s="70">
        <f t="shared" ref="AC295:AC298" si="1038">AB295-AB$293</f>
        <v>-2.5867091313425163</v>
      </c>
      <c r="AD295" s="69">
        <f t="shared" si="1015"/>
        <v>109.42921695596991</v>
      </c>
      <c r="AE295" s="71">
        <f t="shared" ref="AE295:AE298" si="1039">H295+AB295-I$293</f>
        <v>-1.6811425894826613</v>
      </c>
      <c r="AF295" s="59"/>
      <c r="AG295" s="128">
        <f t="shared" si="1016"/>
        <v>-2</v>
      </c>
      <c r="AH295" s="128">
        <f t="shared" si="1005"/>
        <v>-2.5867091313425163</v>
      </c>
      <c r="AI295" s="128">
        <f t="shared" si="1017"/>
        <v>0.90556654185984087</v>
      </c>
      <c r="AJ295" s="128">
        <f t="shared" si="1006"/>
        <v>-1.6811425894826613</v>
      </c>
      <c r="AK295" s="128">
        <f t="shared" si="1018"/>
        <v>1.3947372224449879</v>
      </c>
      <c r="AL295" s="61">
        <f t="shared" si="1019"/>
        <v>2.7894744448899758</v>
      </c>
      <c r="AM295" s="59"/>
      <c r="AN295" s="59"/>
      <c r="AS295" s="61">
        <f t="shared" si="1007"/>
        <v>91.860326954661673</v>
      </c>
    </row>
    <row r="296" spans="1:45">
      <c r="A296" s="59"/>
      <c r="B296" s="20">
        <f t="shared" si="1008"/>
        <v>183</v>
      </c>
      <c r="C296" s="18">
        <f t="shared" si="1028"/>
        <v>162.89629500000001</v>
      </c>
      <c r="D296" s="63">
        <f t="shared" ref="D296:G296" si="1040">D281</f>
        <v>30</v>
      </c>
      <c r="E296" s="63">
        <f t="shared" si="1040"/>
        <v>90.100472246018697</v>
      </c>
      <c r="F296" s="63">
        <f t="shared" si="1040"/>
        <v>160</v>
      </c>
      <c r="G296" s="63">
        <f t="shared" si="1040"/>
        <v>24.200944492037394</v>
      </c>
      <c r="H296" s="146">
        <f t="shared" si="1030"/>
        <v>45.109752164553626</v>
      </c>
      <c r="I296" s="20"/>
      <c r="J296" s="63"/>
      <c r="K296" s="69">
        <f t="shared" si="1031"/>
        <v>1.34800947187383</v>
      </c>
      <c r="L296" s="63">
        <f t="shared" si="1010"/>
        <v>65.249497989943649</v>
      </c>
      <c r="M296" s="83">
        <f t="shared" si="1034"/>
        <v>3</v>
      </c>
      <c r="N296" s="61"/>
      <c r="O296" s="61"/>
      <c r="P296" s="23">
        <f t="shared" si="1035"/>
        <v>1</v>
      </c>
      <c r="Q296" s="20">
        <f t="shared" si="999"/>
        <v>183</v>
      </c>
      <c r="R296" s="23">
        <f t="shared" si="1036"/>
        <v>0.25</v>
      </c>
      <c r="S296" s="61">
        <f t="shared" ref="S296:S298" si="1041">Q296*R296</f>
        <v>45.75</v>
      </c>
      <c r="T296" s="61">
        <f t="shared" ref="T296:T298" si="1042">S296/2</f>
        <v>22.875</v>
      </c>
      <c r="U296" s="61">
        <f t="shared" si="1000"/>
        <v>57.125</v>
      </c>
      <c r="V296" s="61"/>
      <c r="W296" s="61">
        <f t="shared" si="1032"/>
        <v>57.975975830259024</v>
      </c>
      <c r="X296" s="61">
        <f t="shared" si="1037"/>
        <v>26.610828964718017</v>
      </c>
      <c r="Y296" s="61">
        <f>SQRT(X296*X296+U296*U296)</f>
        <v>63.019059364524601</v>
      </c>
      <c r="Z296" s="69">
        <f>DEGREES(ASIN(X296/Y296))</f>
        <v>24.97775532952792</v>
      </c>
      <c r="AA296" s="69">
        <f t="shared" si="1002"/>
        <v>38.436236665692654</v>
      </c>
      <c r="AB296" s="4">
        <f t="shared" si="1003"/>
        <v>63.41399199522057</v>
      </c>
      <c r="AC296" s="70">
        <f t="shared" si="1038"/>
        <v>-3.9346248575522225</v>
      </c>
      <c r="AD296" s="69">
        <f t="shared" si="1015"/>
        <v>108.5237441597742</v>
      </c>
      <c r="AE296" s="71">
        <f t="shared" si="1039"/>
        <v>-2.5866153856783711</v>
      </c>
      <c r="AF296" s="59"/>
      <c r="AG296" s="128">
        <f t="shared" si="1016"/>
        <v>-3</v>
      </c>
      <c r="AH296" s="128">
        <f t="shared" si="1005"/>
        <v>-3.9346248575522225</v>
      </c>
      <c r="AI296" s="128">
        <f t="shared" si="1017"/>
        <v>1.34800947187383</v>
      </c>
      <c r="AJ296" s="128">
        <f t="shared" si="1006"/>
        <v>-2.5866153856783711</v>
      </c>
      <c r="AK296" s="128">
        <f t="shared" si="1018"/>
        <v>2.1004722460186969</v>
      </c>
      <c r="AL296" s="61">
        <f t="shared" si="1019"/>
        <v>4.2009444920373937</v>
      </c>
      <c r="AM296" s="59"/>
      <c r="AN296" s="59"/>
      <c r="AS296" s="61">
        <f t="shared" si="1007"/>
        <v>91.860326954661673</v>
      </c>
    </row>
    <row r="297" spans="1:45">
      <c r="A297" s="59"/>
      <c r="B297" s="20">
        <f t="shared" si="1008"/>
        <v>183</v>
      </c>
      <c r="C297" s="18">
        <f t="shared" si="1028"/>
        <v>162.89629500000001</v>
      </c>
      <c r="D297" s="63">
        <f t="shared" ref="D297:G297" si="1043">D282</f>
        <v>30</v>
      </c>
      <c r="E297" s="63">
        <f t="shared" si="1043"/>
        <v>90.811615565722946</v>
      </c>
      <c r="F297" s="63">
        <f t="shared" si="1043"/>
        <v>160</v>
      </c>
      <c r="G297" s="63">
        <f t="shared" si="1043"/>
        <v>25.623231131445891</v>
      </c>
      <c r="H297" s="146">
        <f t="shared" si="1030"/>
        <v>45.545440552274428</v>
      </c>
      <c r="I297" s="20"/>
      <c r="J297" s="63"/>
      <c r="K297" s="69">
        <f t="shared" si="1031"/>
        <v>1.783697859594632</v>
      </c>
      <c r="L297" s="63">
        <f t="shared" si="1010"/>
        <v>66.249497989943649</v>
      </c>
      <c r="M297" s="83">
        <f t="shared" si="1034"/>
        <v>4</v>
      </c>
      <c r="N297" s="61"/>
      <c r="O297" s="61"/>
      <c r="P297" s="23">
        <f t="shared" si="1035"/>
        <v>1</v>
      </c>
      <c r="Q297" s="20">
        <f t="shared" si="999"/>
        <v>183</v>
      </c>
      <c r="R297" s="23">
        <f t="shared" si="1036"/>
        <v>0.25</v>
      </c>
      <c r="S297" s="61">
        <f t="shared" si="1041"/>
        <v>45.75</v>
      </c>
      <c r="T297" s="61">
        <f t="shared" si="1042"/>
        <v>22.875</v>
      </c>
      <c r="U297" s="61">
        <f t="shared" si="1000"/>
        <v>57.125</v>
      </c>
      <c r="V297" s="61"/>
      <c r="W297" s="61">
        <f t="shared" si="1032"/>
        <v>57.975975830259024</v>
      </c>
      <c r="X297" s="61">
        <f t="shared" si="1037"/>
        <v>25.610828964718017</v>
      </c>
      <c r="Y297" s="61">
        <f t="shared" ref="Y297:Y298" si="1044">SQRT(X297*X297+U297*U297)</f>
        <v>62.60335602234148</v>
      </c>
      <c r="Z297" s="69">
        <f t="shared" ref="Z297:Z298" si="1045">DEGREES(ASIN(X297/Y297))</f>
        <v>24.148106145499938</v>
      </c>
      <c r="AA297" s="69">
        <f t="shared" si="1002"/>
        <v>37.881515255566349</v>
      </c>
      <c r="AB297" s="4">
        <f t="shared" si="1003"/>
        <v>62.029621401066287</v>
      </c>
      <c r="AC297" s="70">
        <f t="shared" si="1038"/>
        <v>-5.3189954517065061</v>
      </c>
      <c r="AD297" s="69">
        <f t="shared" si="1015"/>
        <v>107.57506195334071</v>
      </c>
      <c r="AE297" s="71">
        <f t="shared" si="1039"/>
        <v>-3.5352975921118599</v>
      </c>
      <c r="AF297" s="59"/>
      <c r="AG297" s="128">
        <f t="shared" si="1016"/>
        <v>-4</v>
      </c>
      <c r="AH297" s="128">
        <f t="shared" si="1005"/>
        <v>-5.3189954517065061</v>
      </c>
      <c r="AI297" s="128">
        <f t="shared" si="1017"/>
        <v>1.783697859594632</v>
      </c>
      <c r="AJ297" s="128">
        <f t="shared" si="1006"/>
        <v>-3.5352975921118599</v>
      </c>
      <c r="AK297" s="128">
        <f t="shared" si="1018"/>
        <v>2.8116155657229456</v>
      </c>
      <c r="AL297" s="61">
        <f t="shared" si="1019"/>
        <v>5.6232311314458912</v>
      </c>
      <c r="AM297" s="59"/>
      <c r="AN297" s="59"/>
      <c r="AS297" s="61">
        <f t="shared" si="1007"/>
        <v>91.860326954661673</v>
      </c>
    </row>
    <row r="298" spans="1:45">
      <c r="A298" s="59"/>
      <c r="B298" s="20">
        <f t="shared" si="1008"/>
        <v>183</v>
      </c>
      <c r="C298" s="18">
        <f t="shared" si="1028"/>
        <v>162.89629500000001</v>
      </c>
      <c r="D298" s="63">
        <f t="shared" ref="D298:G298" si="1046">D283</f>
        <v>30</v>
      </c>
      <c r="E298" s="63">
        <f t="shared" si="1046"/>
        <v>91.528043815207823</v>
      </c>
      <c r="F298" s="63">
        <f t="shared" si="1046"/>
        <v>160</v>
      </c>
      <c r="G298" s="63">
        <f t="shared" si="1046"/>
        <v>27.056087630415647</v>
      </c>
      <c r="H298" s="146">
        <f t="shared" si="1030"/>
        <v>45.974478655807836</v>
      </c>
      <c r="I298" s="20"/>
      <c r="J298" s="63"/>
      <c r="K298" s="69">
        <f t="shared" si="1031"/>
        <v>2.2127359631280399</v>
      </c>
      <c r="L298" s="63">
        <f t="shared" si="1010"/>
        <v>67.249497989943649</v>
      </c>
      <c r="M298" s="83">
        <f t="shared" si="1034"/>
        <v>5</v>
      </c>
      <c r="N298" s="61"/>
      <c r="O298" s="61"/>
      <c r="P298" s="23">
        <f t="shared" si="1035"/>
        <v>1</v>
      </c>
      <c r="Q298" s="20">
        <f t="shared" si="999"/>
        <v>183</v>
      </c>
      <c r="R298" s="23">
        <f t="shared" si="1036"/>
        <v>0.25</v>
      </c>
      <c r="S298" s="61">
        <f t="shared" si="1041"/>
        <v>45.75</v>
      </c>
      <c r="T298" s="61">
        <f t="shared" si="1042"/>
        <v>22.875</v>
      </c>
      <c r="U298" s="61">
        <f t="shared" si="1000"/>
        <v>57.125</v>
      </c>
      <c r="V298" s="61"/>
      <c r="W298" s="61">
        <f t="shared" si="1032"/>
        <v>57.975975830259024</v>
      </c>
      <c r="X298" s="61">
        <f t="shared" si="1037"/>
        <v>24.610828964718017</v>
      </c>
      <c r="Y298" s="61">
        <f t="shared" si="1044"/>
        <v>62.200952784749234</v>
      </c>
      <c r="Z298" s="69">
        <f t="shared" si="1045"/>
        <v>23.307544108722833</v>
      </c>
      <c r="AA298" s="69">
        <f t="shared" si="1002"/>
        <v>37.301197897358129</v>
      </c>
      <c r="AB298" s="4">
        <f t="shared" si="1003"/>
        <v>60.608742006080959</v>
      </c>
      <c r="AC298" s="70">
        <f t="shared" si="1038"/>
        <v>-6.7398748466918335</v>
      </c>
      <c r="AD298" s="69">
        <f t="shared" si="1015"/>
        <v>106.58322066188879</v>
      </c>
      <c r="AE298" s="71">
        <f t="shared" si="1039"/>
        <v>-4.5271388835637794</v>
      </c>
      <c r="AF298" s="59"/>
      <c r="AG298" s="128">
        <f t="shared" si="1016"/>
        <v>-5</v>
      </c>
      <c r="AH298" s="128">
        <f t="shared" si="1005"/>
        <v>-6.7398748466918335</v>
      </c>
      <c r="AI298" s="128">
        <f t="shared" si="1017"/>
        <v>2.2127359631280399</v>
      </c>
      <c r="AJ298" s="128">
        <f t="shared" si="1006"/>
        <v>-4.5271388835637794</v>
      </c>
      <c r="AK298" s="128">
        <f t="shared" si="1018"/>
        <v>3.5280438152078233</v>
      </c>
      <c r="AL298" s="61">
        <f t="shared" si="1019"/>
        <v>7.0560876304156466</v>
      </c>
      <c r="AM298" s="59"/>
      <c r="AN298" s="59"/>
      <c r="AS298" s="61">
        <f t="shared" si="1007"/>
        <v>91.860326954661673</v>
      </c>
    </row>
    <row r="299" spans="1:45">
      <c r="A299" s="12"/>
      <c r="B299" s="5"/>
      <c r="C299" s="13"/>
      <c r="D299" s="5"/>
      <c r="E299" s="5"/>
      <c r="F299" s="5"/>
      <c r="G299" s="5"/>
      <c r="H299" s="13"/>
      <c r="I299" s="104"/>
      <c r="J299" s="13"/>
      <c r="K299" s="13"/>
      <c r="L299" s="13"/>
      <c r="M299" s="45"/>
      <c r="N299" s="13"/>
      <c r="O299" s="13"/>
      <c r="P299" s="103"/>
      <c r="Q299" s="23"/>
      <c r="R299" s="103"/>
      <c r="S299" s="13"/>
      <c r="T299" s="13"/>
      <c r="U299" s="13"/>
      <c r="V299" s="13"/>
      <c r="W299" s="13"/>
      <c r="X299" s="13"/>
      <c r="Y299" s="13"/>
      <c r="Z299" s="104"/>
      <c r="AA299" s="104"/>
      <c r="AB299" s="104"/>
      <c r="AC299" s="109"/>
      <c r="AD299" s="104"/>
      <c r="AE299" s="109"/>
      <c r="AF299" s="12"/>
      <c r="AG299" s="12"/>
      <c r="AH299" s="12"/>
      <c r="AI299" s="12"/>
      <c r="AJ299" s="12"/>
      <c r="AK299" s="12"/>
      <c r="AL299" s="59"/>
      <c r="AM299" s="59"/>
      <c r="AN299" s="59"/>
      <c r="AO299" s="59"/>
    </row>
  </sheetData>
  <mergeCells count="36">
    <mergeCell ref="T22:AA22"/>
    <mergeCell ref="T23:AA23"/>
    <mergeCell ref="T24:AA24"/>
    <mergeCell ref="T25:AA25"/>
    <mergeCell ref="AB22:AC22"/>
    <mergeCell ref="AB23:AC23"/>
    <mergeCell ref="AB24:AC24"/>
    <mergeCell ref="AB25:AC25"/>
    <mergeCell ref="AB17:AC17"/>
    <mergeCell ref="AB18:AC18"/>
    <mergeCell ref="B14:F14"/>
    <mergeCell ref="K14:M14"/>
    <mergeCell ref="G14:J14"/>
    <mergeCell ref="N14:P14"/>
    <mergeCell ref="Q14:S14"/>
    <mergeCell ref="AB19:AC19"/>
    <mergeCell ref="AB20:AC20"/>
    <mergeCell ref="G10:I10"/>
    <mergeCell ref="M166:N166"/>
    <mergeCell ref="M46:N46"/>
    <mergeCell ref="M76:N76"/>
    <mergeCell ref="M106:N106"/>
    <mergeCell ref="AB21:AC21"/>
    <mergeCell ref="T15:AA15"/>
    <mergeCell ref="T17:AA17"/>
    <mergeCell ref="T18:AA18"/>
    <mergeCell ref="T19:AA19"/>
    <mergeCell ref="T20:AA20"/>
    <mergeCell ref="T21:AA21"/>
    <mergeCell ref="T16:AA16"/>
    <mergeCell ref="AB16:AC16"/>
    <mergeCell ref="M226:N226"/>
    <mergeCell ref="M256:N256"/>
    <mergeCell ref="M286:N286"/>
    <mergeCell ref="M196:N196"/>
    <mergeCell ref="M136:N136"/>
  </mergeCells>
  <pageMargins left="0.27559055118110237" right="0.23622047244094491" top="0.55118110236220474" bottom="0.43307086614173229" header="0.31496062992125984" footer="0.31496062992125984"/>
  <pageSetup paperSize="9" scale="43" orientation="landscape" r:id="rId1"/>
  <headerFooter>
    <oddHeader>&amp;L&amp;16&amp;Z&amp;F &amp;R&amp;D &amp;T</oddHeader>
  </headerFooter>
  <rowBreaks count="4" manualBreakCount="4">
    <brk id="29" max="30" man="1"/>
    <brk id="59" max="30" man="1"/>
    <brk id="89" max="30" man="1"/>
    <brk id="119" max="30" man="1"/>
  </rowBreaks>
  <ignoredErrors>
    <ignoredError sqref="C51:C58 Q51:Q52 AI51:AI58 AO51:AO58 U53 W53:X53 Q54:Q58 Q78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Q261"/>
  <sheetViews>
    <sheetView topLeftCell="A4" zoomScale="60" zoomScaleNormal="60" workbookViewId="0">
      <selection activeCell="A22" sqref="A22:G23"/>
    </sheetView>
  </sheetViews>
  <sheetFormatPr defaultRowHeight="15"/>
  <cols>
    <col min="9" max="9" width="11.140625" customWidth="1"/>
  </cols>
  <sheetData>
    <row r="1" spans="1:43" ht="21">
      <c r="A1" s="17" t="s">
        <v>23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</row>
    <row r="2" spans="1:43">
      <c r="A2" s="15" t="s">
        <v>10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</row>
    <row r="3" spans="1:43">
      <c r="A3" s="85"/>
      <c r="B3" s="233" t="s">
        <v>44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</row>
    <row r="4" spans="1:43" ht="117">
      <c r="A4" s="25"/>
      <c r="B4" s="24" t="s">
        <v>7</v>
      </c>
      <c r="C4" s="24" t="s">
        <v>3</v>
      </c>
      <c r="D4" s="24" t="s">
        <v>4</v>
      </c>
      <c r="E4" s="24" t="s">
        <v>82</v>
      </c>
      <c r="F4" s="24" t="s">
        <v>81</v>
      </c>
      <c r="G4" s="24" t="s">
        <v>0</v>
      </c>
      <c r="H4" s="24" t="s">
        <v>1</v>
      </c>
      <c r="I4" s="25"/>
      <c r="J4" s="24" t="s">
        <v>13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</row>
    <row r="5" spans="1:43">
      <c r="A5" s="59"/>
      <c r="B5" s="60">
        <v>45</v>
      </c>
      <c r="C5" s="60">
        <v>115</v>
      </c>
      <c r="D5" s="60">
        <v>85</v>
      </c>
      <c r="E5" s="2">
        <f>(D5-B5)/2</f>
        <v>20</v>
      </c>
      <c r="F5" s="2">
        <f>C5+2</f>
        <v>117</v>
      </c>
      <c r="G5" s="4">
        <f>ACOS(E5/F5)</f>
        <v>1.3990125208448267</v>
      </c>
      <c r="H5" s="61">
        <f>DEGREES(G5)</f>
        <v>80.157512930366678</v>
      </c>
      <c r="I5" s="59"/>
      <c r="J5" s="61">
        <f>E5*TAN(G5)</f>
        <v>115.27792503337315</v>
      </c>
      <c r="K5" s="59">
        <f>(D5-B5)/2*TAN(ACOS((D5-E5)/2/(C5+2)))</f>
        <v>69.166465863162315</v>
      </c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</row>
    <row r="6" spans="1:43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</row>
    <row r="7" spans="1:43">
      <c r="A7" s="59"/>
      <c r="B7" s="59" t="s">
        <v>11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</row>
    <row r="8" spans="1:43">
      <c r="A8" s="59"/>
      <c r="B8" s="59" t="s">
        <v>45</v>
      </c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</row>
    <row r="9" spans="1:43">
      <c r="A9" s="59"/>
      <c r="B9" s="59"/>
      <c r="C9" s="59"/>
      <c r="D9" s="59"/>
      <c r="E9" s="59"/>
      <c r="F9" s="59"/>
      <c r="G9" s="59"/>
      <c r="H9" s="59"/>
      <c r="I9" s="59"/>
      <c r="J9" s="59"/>
      <c r="K9" s="59" t="s">
        <v>2</v>
      </c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</row>
    <row r="10" spans="1:43">
      <c r="A10" s="59"/>
      <c r="B10" s="59"/>
      <c r="C10" s="59"/>
      <c r="D10" s="59"/>
      <c r="E10" s="59"/>
      <c r="F10" s="59"/>
      <c r="G10" s="239" t="s">
        <v>14</v>
      </c>
      <c r="H10" s="239"/>
      <c r="I10" s="239"/>
      <c r="J10" s="59"/>
      <c r="K10" s="47" t="s">
        <v>51</v>
      </c>
      <c r="L10" s="47"/>
      <c r="M10" s="47"/>
      <c r="N10" s="47"/>
      <c r="O10" s="47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</row>
    <row r="11" spans="1:43" ht="59.25">
      <c r="A11" s="25"/>
      <c r="B11" s="24" t="s">
        <v>12</v>
      </c>
      <c r="C11" s="24" t="s">
        <v>8</v>
      </c>
      <c r="D11" s="24" t="s">
        <v>3</v>
      </c>
      <c r="E11" s="24" t="s">
        <v>6</v>
      </c>
      <c r="F11" s="24" t="s">
        <v>5</v>
      </c>
      <c r="G11" s="50" t="s">
        <v>16</v>
      </c>
      <c r="H11" s="50" t="s">
        <v>17</v>
      </c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6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</row>
    <row r="12" spans="1:43">
      <c r="A12" s="59"/>
      <c r="B12" s="60">
        <v>200</v>
      </c>
      <c r="C12" s="4">
        <f>100*(0.297865*B12/100+1.08387)</f>
        <v>167.95999999999998</v>
      </c>
      <c r="D12" s="2">
        <f>C5</f>
        <v>115</v>
      </c>
      <c r="E12" s="61">
        <f>DEGREES(C12/(D12-6+2))</f>
        <v>86.697289432588349</v>
      </c>
      <c r="F12" s="61">
        <f>E12-H5</f>
        <v>6.5397765022216703</v>
      </c>
      <c r="G12" s="61">
        <f>(D12+2)*(SIN(RADIANS(F12)))</f>
        <v>13.32547570517389</v>
      </c>
      <c r="H12" s="61">
        <f>(D12+2)*COS(RADIANS(F12))</f>
        <v>116.23868416852808</v>
      </c>
      <c r="I12" s="59"/>
      <c r="J12" s="59"/>
      <c r="K12" s="59"/>
      <c r="L12" s="59"/>
      <c r="M12" s="5" t="s">
        <v>75</v>
      </c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</row>
    <row r="13" spans="1:43">
      <c r="A13" s="59"/>
      <c r="B13" s="5"/>
      <c r="C13" s="8"/>
      <c r="D13" s="6"/>
      <c r="E13" s="6"/>
      <c r="F13" s="7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</row>
    <row r="14" spans="1:43">
      <c r="A14" s="59"/>
      <c r="B14" s="236" t="s">
        <v>55</v>
      </c>
      <c r="C14" s="249"/>
      <c r="D14" s="249"/>
      <c r="E14" s="249"/>
      <c r="F14" s="237"/>
      <c r="G14" s="236" t="s">
        <v>69</v>
      </c>
      <c r="H14" s="249"/>
      <c r="I14" s="237"/>
      <c r="J14" s="236" t="s">
        <v>86</v>
      </c>
      <c r="K14" s="249"/>
      <c r="L14" s="249"/>
      <c r="M14" s="237"/>
      <c r="N14" s="236" t="s">
        <v>90</v>
      </c>
      <c r="O14" s="249"/>
      <c r="P14" s="237"/>
      <c r="Q14" s="236" t="s">
        <v>89</v>
      </c>
      <c r="R14" s="249"/>
      <c r="S14" s="237"/>
      <c r="T14" s="85"/>
      <c r="U14" s="85"/>
      <c r="V14" s="85"/>
      <c r="W14" s="85"/>
      <c r="X14" s="85"/>
      <c r="Y14" s="85"/>
      <c r="Z14" s="85"/>
      <c r="AA14" s="85"/>
      <c r="AB14" s="85"/>
      <c r="AC14" s="59"/>
      <c r="AD14" s="59"/>
      <c r="AE14" s="59"/>
      <c r="AF14" s="59" t="s">
        <v>104</v>
      </c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</row>
    <row r="15" spans="1:43" ht="138">
      <c r="A15" s="59"/>
      <c r="B15" s="67" t="s">
        <v>63</v>
      </c>
      <c r="C15" s="67" t="s">
        <v>56</v>
      </c>
      <c r="D15" s="67" t="s">
        <v>59</v>
      </c>
      <c r="E15" s="67" t="s">
        <v>60</v>
      </c>
      <c r="F15" s="67" t="s">
        <v>62</v>
      </c>
      <c r="G15" s="75" t="s">
        <v>67</v>
      </c>
      <c r="H15" s="75" t="s">
        <v>66</v>
      </c>
      <c r="I15" s="75" t="s">
        <v>68</v>
      </c>
      <c r="J15" s="77" t="s">
        <v>84</v>
      </c>
      <c r="K15" s="77" t="s">
        <v>96</v>
      </c>
      <c r="L15" s="77" t="s">
        <v>88</v>
      </c>
      <c r="M15" s="77" t="s">
        <v>85</v>
      </c>
      <c r="N15" s="114" t="s">
        <v>72</v>
      </c>
      <c r="O15" s="117" t="s">
        <v>73</v>
      </c>
      <c r="P15" s="75" t="s">
        <v>74</v>
      </c>
      <c r="Q15" s="114" t="s">
        <v>72</v>
      </c>
      <c r="R15" s="117" t="s">
        <v>73</v>
      </c>
      <c r="S15" s="75" t="s">
        <v>74</v>
      </c>
      <c r="T15" s="241" t="s">
        <v>98</v>
      </c>
      <c r="U15" s="242"/>
      <c r="V15" s="242"/>
      <c r="W15" s="242"/>
      <c r="X15" s="242"/>
      <c r="Y15" s="242"/>
      <c r="Z15" s="242"/>
      <c r="AA15" s="243"/>
      <c r="AB15" s="25"/>
      <c r="AC15" s="59"/>
      <c r="AD15" s="59"/>
      <c r="AE15" s="59"/>
      <c r="AF15" s="114" t="s">
        <v>72</v>
      </c>
      <c r="AG15" s="117" t="s">
        <v>73</v>
      </c>
      <c r="AH15" s="75" t="s">
        <v>74</v>
      </c>
      <c r="AI15" s="59"/>
      <c r="AJ15" s="59"/>
      <c r="AK15" s="59"/>
      <c r="AL15" s="59"/>
      <c r="AM15" s="59"/>
      <c r="AN15" s="59"/>
      <c r="AO15" s="59"/>
      <c r="AP15" s="59"/>
      <c r="AQ15" s="59"/>
    </row>
    <row r="16" spans="1:43">
      <c r="A16" s="59"/>
      <c r="B16" s="74">
        <v>1</v>
      </c>
      <c r="C16" s="74" t="s">
        <v>57</v>
      </c>
      <c r="D16" s="74" t="s">
        <v>58</v>
      </c>
      <c r="E16" s="74" t="s">
        <v>61</v>
      </c>
      <c r="F16" s="74" t="s">
        <v>58</v>
      </c>
      <c r="G16" s="76" t="s">
        <v>87</v>
      </c>
      <c r="H16" s="76" t="s">
        <v>70</v>
      </c>
      <c r="I16" s="76" t="s">
        <v>87</v>
      </c>
      <c r="J16" s="78">
        <f>F39-F38</f>
        <v>-1</v>
      </c>
      <c r="K16" s="78">
        <f>T39</f>
        <v>0</v>
      </c>
      <c r="L16" s="78">
        <f>Q39</f>
        <v>-1.9150493642487092</v>
      </c>
      <c r="M16" s="78">
        <f>E39-E38</f>
        <v>0</v>
      </c>
      <c r="N16" s="115">
        <f>M39</f>
        <v>-1.0931900934296266</v>
      </c>
      <c r="O16" s="118">
        <f>N39</f>
        <v>1.093190093429623</v>
      </c>
      <c r="P16" s="69">
        <f>O39</f>
        <v>0</v>
      </c>
      <c r="Q16" s="115" t="e">
        <f>#REF!</f>
        <v>#REF!</v>
      </c>
      <c r="R16" s="118" t="e">
        <f>#REF!</f>
        <v>#REF!</v>
      </c>
      <c r="S16" s="69" t="e">
        <f>#REF!</f>
        <v>#REF!</v>
      </c>
      <c r="T16" s="244" t="s">
        <v>102</v>
      </c>
      <c r="U16" s="245"/>
      <c r="V16" s="245"/>
      <c r="W16" s="245"/>
      <c r="X16" s="245"/>
      <c r="Y16" s="245"/>
      <c r="Z16" s="245"/>
      <c r="AA16" s="246"/>
      <c r="AB16" s="254" t="s">
        <v>92</v>
      </c>
      <c r="AC16" s="254"/>
      <c r="AD16" s="59"/>
      <c r="AE16" s="59"/>
      <c r="AF16" s="115" t="e">
        <f>N16-Q16</f>
        <v>#REF!</v>
      </c>
      <c r="AG16" s="115" t="e">
        <f>O16-R16</f>
        <v>#REF!</v>
      </c>
      <c r="AH16" s="115" t="e">
        <f>P16-S16</f>
        <v>#REF!</v>
      </c>
      <c r="AI16" s="59"/>
      <c r="AJ16" s="59"/>
      <c r="AK16" s="59"/>
      <c r="AL16" s="59"/>
      <c r="AM16" s="59"/>
      <c r="AN16" s="59"/>
      <c r="AO16" s="59"/>
      <c r="AP16" s="59"/>
      <c r="AQ16" s="59"/>
    </row>
    <row r="17" spans="1:43">
      <c r="A17" s="59"/>
      <c r="B17" s="74">
        <v>2</v>
      </c>
      <c r="C17" s="74" t="s">
        <v>57</v>
      </c>
      <c r="D17" s="74" t="s">
        <v>65</v>
      </c>
      <c r="E17" s="74" t="s">
        <v>58</v>
      </c>
      <c r="F17" s="74" t="s">
        <v>58</v>
      </c>
      <c r="G17" s="76" t="s">
        <v>70</v>
      </c>
      <c r="H17" s="76" t="s">
        <v>71</v>
      </c>
      <c r="I17" s="76" t="s">
        <v>70</v>
      </c>
      <c r="J17" s="78">
        <f>F86-F85</f>
        <v>-1</v>
      </c>
      <c r="K17" s="78">
        <f>T86</f>
        <v>-1</v>
      </c>
      <c r="L17" s="78">
        <f>Q86</f>
        <v>0</v>
      </c>
      <c r="M17" s="78">
        <f>E86-E85</f>
        <v>0</v>
      </c>
      <c r="N17" s="115">
        <f>M86</f>
        <v>0</v>
      </c>
      <c r="O17" s="115">
        <f t="shared" ref="O17:P17" si="0">N86</f>
        <v>0</v>
      </c>
      <c r="P17" s="115">
        <f t="shared" si="0"/>
        <v>0</v>
      </c>
      <c r="Q17" s="115">
        <f>AC101</f>
        <v>0.15895204236375093</v>
      </c>
      <c r="R17" s="118">
        <f>I101</f>
        <v>0</v>
      </c>
      <c r="S17" s="81">
        <f>AE101</f>
        <v>0.15895204236376514</v>
      </c>
      <c r="T17" s="244" t="s">
        <v>99</v>
      </c>
      <c r="U17" s="245"/>
      <c r="V17" s="245"/>
      <c r="W17" s="245"/>
      <c r="X17" s="245"/>
      <c r="Y17" s="245"/>
      <c r="Z17" s="245"/>
      <c r="AA17" s="246"/>
      <c r="AB17" s="252" t="s">
        <v>93</v>
      </c>
      <c r="AC17" s="252"/>
      <c r="AD17" s="59"/>
      <c r="AE17" s="59"/>
      <c r="AF17" s="115">
        <f t="shared" ref="AF17:AH21" si="1">N17-Q17</f>
        <v>-0.15895204236375093</v>
      </c>
      <c r="AG17" s="115">
        <f t="shared" si="1"/>
        <v>0</v>
      </c>
      <c r="AH17" s="115">
        <f t="shared" si="1"/>
        <v>-0.15895204236376514</v>
      </c>
      <c r="AI17" s="59"/>
      <c r="AJ17" s="59"/>
      <c r="AK17" s="59"/>
      <c r="AL17" s="59"/>
      <c r="AM17" s="59"/>
      <c r="AN17" s="59"/>
      <c r="AO17" s="59"/>
      <c r="AP17" s="59"/>
      <c r="AQ17" s="59"/>
    </row>
    <row r="18" spans="1:43">
      <c r="A18" s="59"/>
      <c r="B18" s="74">
        <v>3</v>
      </c>
      <c r="C18" s="74" t="s">
        <v>57</v>
      </c>
      <c r="D18" s="74" t="s">
        <v>58</v>
      </c>
      <c r="E18" s="74" t="s">
        <v>61</v>
      </c>
      <c r="F18" s="74" t="s">
        <v>64</v>
      </c>
      <c r="G18" s="76" t="s">
        <v>70</v>
      </c>
      <c r="H18" s="76" t="s">
        <v>70</v>
      </c>
      <c r="I18" s="76" t="s">
        <v>70</v>
      </c>
      <c r="J18" s="78">
        <f>F117-F116</f>
        <v>-1</v>
      </c>
      <c r="K18" s="78">
        <f>T117</f>
        <v>0</v>
      </c>
      <c r="L18" s="78">
        <f>Q117</f>
        <v>0.18928316439583881</v>
      </c>
      <c r="M18" s="78">
        <f>E117-E116</f>
        <v>-0.5</v>
      </c>
      <c r="N18" s="115">
        <f>M117</f>
        <v>0.54449393955282233</v>
      </c>
      <c r="O18" s="118">
        <f>N117</f>
        <v>0.12083755473133095</v>
      </c>
      <c r="P18" s="69">
        <f>O117</f>
        <v>0.66533149428414617</v>
      </c>
      <c r="Q18" s="115">
        <f>AC132</f>
        <v>0.67897162657089893</v>
      </c>
      <c r="R18" s="118">
        <f>I132</f>
        <v>0.12083755473133095</v>
      </c>
      <c r="S18" s="69">
        <f>AE132</f>
        <v>0.79980918130222278</v>
      </c>
      <c r="T18" s="244" t="s">
        <v>106</v>
      </c>
      <c r="U18" s="245"/>
      <c r="V18" s="245"/>
      <c r="W18" s="245"/>
      <c r="X18" s="245"/>
      <c r="Y18" s="245"/>
      <c r="Z18" s="245"/>
      <c r="AA18" s="246"/>
      <c r="AB18" s="253" t="s">
        <v>94</v>
      </c>
      <c r="AC18" s="253"/>
      <c r="AD18" s="59"/>
      <c r="AE18" s="59"/>
      <c r="AF18" s="115">
        <f t="shared" si="1"/>
        <v>-0.13447768701807661</v>
      </c>
      <c r="AG18" s="115">
        <f t="shared" si="1"/>
        <v>0</v>
      </c>
      <c r="AH18" s="115">
        <f t="shared" si="1"/>
        <v>-0.13447768701807661</v>
      </c>
      <c r="AI18" s="59"/>
      <c r="AJ18" s="59"/>
      <c r="AK18" s="59"/>
      <c r="AL18" s="59"/>
      <c r="AM18" s="59"/>
      <c r="AN18" s="59"/>
      <c r="AO18" s="59"/>
      <c r="AP18" s="59"/>
      <c r="AQ18" s="59"/>
    </row>
    <row r="19" spans="1:43">
      <c r="A19" s="59"/>
      <c r="B19" s="74">
        <v>4</v>
      </c>
      <c r="C19" s="74" t="s">
        <v>57</v>
      </c>
      <c r="D19" s="74" t="s">
        <v>65</v>
      </c>
      <c r="E19" s="74" t="s">
        <v>58</v>
      </c>
      <c r="F19" s="74" t="s">
        <v>64</v>
      </c>
      <c r="G19" s="76" t="s">
        <v>70</v>
      </c>
      <c r="H19" s="82" t="s">
        <v>70</v>
      </c>
      <c r="I19" s="76" t="s">
        <v>70</v>
      </c>
      <c r="J19" s="78">
        <f>F117-F116</f>
        <v>-1</v>
      </c>
      <c r="K19" s="78">
        <f>T147</f>
        <v>0.33624275818070259</v>
      </c>
      <c r="L19" s="78">
        <f>Q147</f>
        <v>0</v>
      </c>
      <c r="M19" s="78">
        <f>E147-E146</f>
        <v>-0.5</v>
      </c>
      <c r="N19" s="115">
        <f>M147</f>
        <v>0.38242314844987391</v>
      </c>
      <c r="O19" s="118">
        <f>N147</f>
        <v>0.66533149428414617</v>
      </c>
      <c r="P19" s="69">
        <f t="shared" ref="P19" si="2">O147</f>
        <v>0.66533149428414617</v>
      </c>
      <c r="Q19" s="116">
        <f>AC162</f>
        <v>0.51912621988937246</v>
      </c>
      <c r="R19" s="119">
        <f>I162</f>
        <v>0.28290834583425806</v>
      </c>
      <c r="S19" s="80">
        <f>AE162</f>
        <v>0.80203456572361631</v>
      </c>
      <c r="T19" s="244" t="s">
        <v>100</v>
      </c>
      <c r="U19" s="245"/>
      <c r="V19" s="245"/>
      <c r="W19" s="245"/>
      <c r="X19" s="245"/>
      <c r="Y19" s="245"/>
      <c r="Z19" s="245"/>
      <c r="AA19" s="246"/>
      <c r="AB19" s="252" t="s">
        <v>109</v>
      </c>
      <c r="AC19" s="252"/>
      <c r="AD19" s="59"/>
      <c r="AE19" s="59"/>
      <c r="AF19" s="115">
        <f t="shared" si="1"/>
        <v>-0.13670307143949856</v>
      </c>
      <c r="AG19" s="115">
        <f t="shared" si="1"/>
        <v>0.38242314844988812</v>
      </c>
      <c r="AH19" s="115">
        <f t="shared" si="1"/>
        <v>-0.13670307143947014</v>
      </c>
      <c r="AI19" s="59"/>
      <c r="AJ19" s="59"/>
      <c r="AK19" s="59"/>
      <c r="AL19" s="59"/>
      <c r="AM19" s="59"/>
      <c r="AN19" s="59"/>
      <c r="AO19" s="59"/>
      <c r="AP19" s="59"/>
      <c r="AQ19" s="59"/>
    </row>
    <row r="20" spans="1:43">
      <c r="A20" s="59"/>
      <c r="B20" s="74">
        <v>5</v>
      </c>
      <c r="C20" s="74" t="s">
        <v>58</v>
      </c>
      <c r="D20" s="74" t="s">
        <v>58</v>
      </c>
      <c r="E20" s="74" t="s">
        <v>61</v>
      </c>
      <c r="F20" s="74" t="s">
        <v>57</v>
      </c>
      <c r="G20" s="76" t="s">
        <v>70</v>
      </c>
      <c r="H20" s="76" t="s">
        <v>71</v>
      </c>
      <c r="I20" s="76" t="s">
        <v>70</v>
      </c>
      <c r="J20" s="78">
        <f>F178-F177</f>
        <v>0</v>
      </c>
      <c r="K20" s="78">
        <f>T178</f>
        <v>0</v>
      </c>
      <c r="L20" s="78">
        <f>Q178</f>
        <v>0.75866347929282085</v>
      </c>
      <c r="M20" s="78">
        <f>E178-E177</f>
        <v>-0.5</v>
      </c>
      <c r="N20" s="115">
        <f>M178</f>
        <v>1.0295927366520203</v>
      </c>
      <c r="O20" s="118">
        <f>N178</f>
        <v>-0.36426124236787416</v>
      </c>
      <c r="P20" s="69">
        <f t="shared" ref="P20" si="3">O178</f>
        <v>0.66533149428414617</v>
      </c>
      <c r="Q20" s="116">
        <f>AC193</f>
        <v>0.33094533822045946</v>
      </c>
      <c r="R20" s="119">
        <f>K193</f>
        <v>-0.36426124236787416</v>
      </c>
      <c r="S20" s="80">
        <f>AE193</f>
        <v>-3.331590414742891E-2</v>
      </c>
      <c r="T20" s="244" t="s">
        <v>103</v>
      </c>
      <c r="U20" s="245"/>
      <c r="V20" s="245"/>
      <c r="W20" s="245"/>
      <c r="X20" s="245"/>
      <c r="Y20" s="245"/>
      <c r="Z20" s="245"/>
      <c r="AA20" s="246"/>
      <c r="AB20" s="252" t="s">
        <v>95</v>
      </c>
      <c r="AC20" s="252"/>
      <c r="AD20" s="59"/>
      <c r="AE20" s="59"/>
      <c r="AF20" s="115">
        <f t="shared" si="1"/>
        <v>0.69864739843156087</v>
      </c>
      <c r="AG20" s="115">
        <f t="shared" si="1"/>
        <v>0</v>
      </c>
      <c r="AH20" s="115">
        <f t="shared" si="1"/>
        <v>0.69864739843157508</v>
      </c>
      <c r="AI20" s="59"/>
      <c r="AJ20" s="59"/>
      <c r="AK20" s="59"/>
      <c r="AL20" s="59"/>
      <c r="AM20" s="59"/>
      <c r="AN20" s="59"/>
      <c r="AO20" s="59"/>
      <c r="AP20" s="59"/>
      <c r="AQ20" s="59"/>
    </row>
    <row r="21" spans="1:43">
      <c r="A21" s="59"/>
      <c r="B21" s="74">
        <v>6</v>
      </c>
      <c r="C21" s="74" t="s">
        <v>58</v>
      </c>
      <c r="D21" s="74" t="s">
        <v>65</v>
      </c>
      <c r="E21" s="74" t="s">
        <v>58</v>
      </c>
      <c r="F21" s="74" t="s">
        <v>57</v>
      </c>
      <c r="G21" s="76" t="s">
        <v>70</v>
      </c>
      <c r="H21" s="76" t="s">
        <v>70</v>
      </c>
      <c r="I21" s="76" t="s">
        <v>70</v>
      </c>
      <c r="J21" s="78">
        <f>F209-F208</f>
        <v>0</v>
      </c>
      <c r="K21" s="78">
        <f>T209</f>
        <v>1.3362427581807026</v>
      </c>
      <c r="L21" s="78">
        <f>Q269</f>
        <v>0</v>
      </c>
      <c r="M21" s="78">
        <f>E209-E208</f>
        <v>-0.5</v>
      </c>
      <c r="N21" s="115">
        <f>M209</f>
        <v>0.38242314844987391</v>
      </c>
      <c r="O21" s="118">
        <f>N209</f>
        <v>0.28290834583426516</v>
      </c>
      <c r="P21" s="69">
        <f t="shared" ref="P21" si="4">O209</f>
        <v>0.66533149428414617</v>
      </c>
      <c r="Q21" s="116">
        <f>AC224</f>
        <v>0.33094533822045946</v>
      </c>
      <c r="R21" s="119">
        <f>I224</f>
        <v>0.28290834583425806</v>
      </c>
      <c r="S21" s="80">
        <f>AE224</f>
        <v>0.61385368405470331</v>
      </c>
      <c r="T21" s="244" t="s">
        <v>101</v>
      </c>
      <c r="U21" s="245"/>
      <c r="V21" s="245"/>
      <c r="W21" s="245"/>
      <c r="X21" s="245"/>
      <c r="Y21" s="245"/>
      <c r="Z21" s="245"/>
      <c r="AA21" s="246"/>
      <c r="AB21" s="252" t="s">
        <v>97</v>
      </c>
      <c r="AC21" s="252"/>
      <c r="AD21" s="59"/>
      <c r="AE21" s="59"/>
      <c r="AF21" s="115">
        <f t="shared" si="1"/>
        <v>5.1477810229414445E-2</v>
      </c>
      <c r="AG21" s="115">
        <f t="shared" si="1"/>
        <v>7.1054273576010019E-15</v>
      </c>
      <c r="AH21" s="115">
        <f t="shared" si="1"/>
        <v>5.1477810229442866E-2</v>
      </c>
      <c r="AI21" s="59"/>
      <c r="AJ21" s="59"/>
      <c r="AK21" s="59"/>
      <c r="AL21" s="59"/>
      <c r="AM21" s="59"/>
      <c r="AN21" s="59"/>
      <c r="AO21" s="59"/>
      <c r="AP21" s="59"/>
      <c r="AQ21" s="59"/>
    </row>
    <row r="22" spans="1:43">
      <c r="A22" s="59"/>
      <c r="B22" s="234">
        <v>7</v>
      </c>
      <c r="C22" s="8" t="s">
        <v>58</v>
      </c>
      <c r="D22" s="234" t="s">
        <v>65</v>
      </c>
      <c r="E22" s="234" t="s">
        <v>57</v>
      </c>
      <c r="F22" s="7" t="s">
        <v>58</v>
      </c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</row>
    <row r="23" spans="1:43">
      <c r="A23" s="59" t="s">
        <v>166</v>
      </c>
      <c r="B23" s="234">
        <v>8</v>
      </c>
      <c r="C23" s="8" t="s">
        <v>61</v>
      </c>
      <c r="D23" s="234" t="s">
        <v>58</v>
      </c>
      <c r="E23" s="234" t="s">
        <v>57</v>
      </c>
      <c r="F23" s="7" t="s">
        <v>58</v>
      </c>
      <c r="G23" s="235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</row>
    <row r="24" spans="1:43">
      <c r="A24" s="59"/>
      <c r="B24" s="5"/>
      <c r="C24" s="8"/>
      <c r="D24" s="6"/>
      <c r="E24" s="6"/>
      <c r="F24" s="7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</row>
    <row r="25" spans="1:43">
      <c r="A25" s="59"/>
      <c r="B25" s="5"/>
      <c r="C25" s="8"/>
      <c r="D25" s="6"/>
      <c r="E25" s="6"/>
      <c r="F25" s="7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</row>
    <row r="26" spans="1:43">
      <c r="A26" s="59"/>
      <c r="B26" s="5"/>
      <c r="C26" s="8"/>
      <c r="D26" s="6"/>
      <c r="E26" s="6"/>
      <c r="F26" s="7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</row>
    <row r="27" spans="1:43">
      <c r="A27" s="59"/>
      <c r="B27" s="5"/>
      <c r="C27" s="8"/>
      <c r="D27" s="6"/>
      <c r="E27" s="6"/>
      <c r="F27" s="7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</row>
    <row r="28" spans="1:43">
      <c r="A28" s="59"/>
      <c r="B28" s="5"/>
      <c r="C28" s="8"/>
      <c r="D28" s="6"/>
      <c r="E28" s="6"/>
      <c r="F28" s="7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</row>
    <row r="29" spans="1:43" ht="15.75" thickBot="1">
      <c r="A29" s="86"/>
      <c r="B29" s="87"/>
      <c r="C29" s="88"/>
      <c r="D29" s="86"/>
      <c r="E29" s="86"/>
      <c r="F29" s="89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</row>
    <row r="30" spans="1:43">
      <c r="A30" s="15" t="s">
        <v>126</v>
      </c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 t="s">
        <v>110</v>
      </c>
      <c r="AH30" s="59"/>
      <c r="AI30" s="59"/>
      <c r="AJ30" s="59"/>
      <c r="AK30" s="59"/>
      <c r="AL30" s="59"/>
      <c r="AM30" s="59"/>
      <c r="AN30" s="59"/>
      <c r="AO30" s="59"/>
      <c r="AP30" s="59"/>
      <c r="AQ30" s="59"/>
    </row>
    <row r="31" spans="1:43">
      <c r="A31" s="60" t="s">
        <v>107</v>
      </c>
      <c r="B31" s="2"/>
      <c r="C31" s="2"/>
      <c r="D31" s="20"/>
      <c r="E31" s="60">
        <v>0</v>
      </c>
      <c r="F31" s="60">
        <v>1</v>
      </c>
      <c r="G31" s="59"/>
      <c r="H31" s="59"/>
      <c r="I31" s="59"/>
      <c r="J31" s="59"/>
      <c r="K31" s="59"/>
      <c r="L31" s="59"/>
      <c r="M31" s="59"/>
      <c r="N31" s="59"/>
      <c r="O31" s="59"/>
      <c r="P31" s="2" t="s">
        <v>52</v>
      </c>
      <c r="Q31" s="2"/>
      <c r="R31" s="2"/>
      <c r="S31" s="138"/>
      <c r="T31" s="138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 t="s">
        <v>111</v>
      </c>
      <c r="AN31" s="59"/>
      <c r="AO31" s="59"/>
      <c r="AP31" s="59"/>
      <c r="AQ31" s="59"/>
    </row>
    <row r="32" spans="1:43" ht="135">
      <c r="A32" s="27"/>
      <c r="B32" s="48" t="s">
        <v>12</v>
      </c>
      <c r="C32" s="48" t="s">
        <v>8</v>
      </c>
      <c r="D32" s="125"/>
      <c r="E32" s="48" t="s">
        <v>3</v>
      </c>
      <c r="F32" s="48" t="s">
        <v>17</v>
      </c>
      <c r="H32" s="27"/>
      <c r="I32" s="66" t="s">
        <v>1</v>
      </c>
      <c r="J32" s="66" t="s">
        <v>6</v>
      </c>
      <c r="K32" s="66" t="s">
        <v>5</v>
      </c>
      <c r="L32" s="27"/>
      <c r="M32" s="66" t="s">
        <v>21</v>
      </c>
      <c r="N32" s="66" t="s">
        <v>20</v>
      </c>
      <c r="O32" s="66" t="s">
        <v>91</v>
      </c>
      <c r="P32" s="46" t="s">
        <v>127</v>
      </c>
      <c r="Q32" s="46" t="s">
        <v>112</v>
      </c>
      <c r="R32" s="28" t="s">
        <v>18</v>
      </c>
      <c r="S32" s="28" t="s">
        <v>19</v>
      </c>
      <c r="T32" s="73" t="s">
        <v>83</v>
      </c>
      <c r="U32" s="27"/>
      <c r="V32" s="28" t="s">
        <v>129</v>
      </c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8" t="str">
        <f>F32</f>
        <v>spread (cm)</v>
      </c>
      <c r="AH32" s="28" t="s">
        <v>113</v>
      </c>
      <c r="AI32" s="28" t="s">
        <v>114</v>
      </c>
      <c r="AJ32" s="28" t="s">
        <v>115</v>
      </c>
      <c r="AK32" s="28" t="str">
        <f>Q32</f>
        <v>distance to move stretcher to stern (cm)</v>
      </c>
      <c r="AL32" s="27"/>
      <c r="AM32" s="28" t="str">
        <f>AG32</f>
        <v>spread (cm)</v>
      </c>
      <c r="AN32" s="28" t="str">
        <f t="shared" ref="AN32:AQ32" si="5">AH32</f>
        <v>Change in catch angle (deg)</v>
      </c>
      <c r="AO32" s="28" t="str">
        <f t="shared" si="5"/>
        <v>Change in finish angle (deg)</v>
      </c>
      <c r="AP32" s="28" t="str">
        <f t="shared" si="5"/>
        <v>Change in sweep angle (deg)</v>
      </c>
      <c r="AQ32" s="28" t="str">
        <f t="shared" si="5"/>
        <v>distance to move stretcher to stern (cm)</v>
      </c>
    </row>
    <row r="33" spans="1:43">
      <c r="A33" s="27"/>
      <c r="B33" s="20">
        <f>B38</f>
        <v>183</v>
      </c>
      <c r="C33" s="18">
        <f t="shared" ref="C33:C37" si="6">100*(0.297865*B33/100+1.08387)</f>
        <v>162.89629500000001</v>
      </c>
      <c r="D33" s="63"/>
      <c r="E33" s="63">
        <f t="shared" ref="E33" si="7">5*E31+E38</f>
        <v>115</v>
      </c>
      <c r="F33" s="63">
        <f>5*F31+F38</f>
        <v>93</v>
      </c>
      <c r="H33" s="27"/>
      <c r="I33" s="44">
        <f t="shared" ref="I33:I37" si="8">DEGREES(ACOS((F33+D33/2)/(E33+2-15)))</f>
        <v>24.249628602505194</v>
      </c>
      <c r="J33" s="44">
        <f t="shared" ref="J33:J37" si="9">DEGREES(C33/(E33-15+2))</f>
        <v>91.50264903743151</v>
      </c>
      <c r="K33" s="9">
        <f t="shared" ref="K33:K37" si="10">J33-I33</f>
        <v>67.253020434926313</v>
      </c>
      <c r="L33" s="27"/>
      <c r="M33" s="69">
        <f>K33-K38</f>
        <v>6.12415759733274</v>
      </c>
      <c r="N33" s="69">
        <f>I33-I38</f>
        <v>-6.1241575973327471</v>
      </c>
      <c r="O33" s="9">
        <f>J33-J38</f>
        <v>0</v>
      </c>
      <c r="P33" s="41">
        <f t="shared" ref="P33:P37" si="11">(E33+2)*SIN(RADIANS(I33))</f>
        <v>48.053414268263715</v>
      </c>
      <c r="Q33" s="62">
        <f>P38-P33</f>
        <v>11.106360010663032</v>
      </c>
      <c r="R33" s="61">
        <f t="shared" ref="R33:R43" si="12">(E33+2)*SIN(RADIANS(K33))</f>
        <v>107.89989870473245</v>
      </c>
      <c r="S33" s="39">
        <f t="shared" ref="S33:S37" si="13">(F33)- (E33+2)*COS(RADIANS(K33))</f>
        <v>47.760505534340041</v>
      </c>
      <c r="T33" s="2">
        <f t="shared" ref="T33:T43" si="14">D33-D$38</f>
        <v>0</v>
      </c>
      <c r="U33" s="27"/>
      <c r="V33" s="40">
        <f t="shared" ref="V33:V43" si="15">E33-(F33+2)</f>
        <v>20</v>
      </c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128">
        <f>F33</f>
        <v>93</v>
      </c>
      <c r="AH33" s="128">
        <f>M33</f>
        <v>6.12415759733274</v>
      </c>
      <c r="AI33" s="128">
        <f t="shared" ref="AI33:AJ43" si="16">N33</f>
        <v>-6.1241575973327471</v>
      </c>
      <c r="AJ33" s="128">
        <f t="shared" si="16"/>
        <v>0</v>
      </c>
      <c r="AK33" s="128">
        <f>Q33</f>
        <v>11.106360010663032</v>
      </c>
      <c r="AL33" s="27"/>
      <c r="AM33" s="134">
        <f>AG33/AG$38-1</f>
        <v>5.6818181818181879E-2</v>
      </c>
      <c r="AN33" s="135">
        <f t="shared" ref="AN33:AN43" si="17">K33/K$38-1</f>
        <v>0.10018438611566083</v>
      </c>
      <c r="AO33" s="135">
        <f t="shared" ref="AO33:AP43" si="18">I33/I$38-1</f>
        <v>-0.20162641420599126</v>
      </c>
      <c r="AP33" s="135">
        <f t="shared" si="18"/>
        <v>0</v>
      </c>
      <c r="AQ33" s="134">
        <f>(Q33+60)/(Q$38+60) -1</f>
        <v>0.18510600017771717</v>
      </c>
    </row>
    <row r="34" spans="1:43">
      <c r="A34" s="27"/>
      <c r="B34" s="20">
        <f>B38</f>
        <v>183</v>
      </c>
      <c r="C34" s="18">
        <f t="shared" si="6"/>
        <v>162.89629500000001</v>
      </c>
      <c r="D34" s="63"/>
      <c r="E34" s="63">
        <f t="shared" ref="E34" si="19">4*E31+E38</f>
        <v>115</v>
      </c>
      <c r="F34" s="63">
        <f>4*F31+F38</f>
        <v>92</v>
      </c>
      <c r="H34" s="27"/>
      <c r="I34" s="44">
        <f t="shared" si="8"/>
        <v>25.582987370483785</v>
      </c>
      <c r="J34" s="44">
        <f t="shared" si="9"/>
        <v>91.50264903743151</v>
      </c>
      <c r="K34" s="9">
        <f t="shared" si="10"/>
        <v>65.919661666947718</v>
      </c>
      <c r="L34" s="27"/>
      <c r="M34" s="69">
        <f>K34-K38</f>
        <v>4.790798829354145</v>
      </c>
      <c r="N34" s="69">
        <f>I34-I38</f>
        <v>-4.7907988293541557</v>
      </c>
      <c r="O34" s="9">
        <f>J34-J38</f>
        <v>0</v>
      </c>
      <c r="P34" s="41">
        <f t="shared" si="11"/>
        <v>50.522700369192002</v>
      </c>
      <c r="Q34" s="62">
        <f>P38-P34</f>
        <v>8.6370739097347453</v>
      </c>
      <c r="R34" s="61">
        <f t="shared" si="12"/>
        <v>106.81798684055083</v>
      </c>
      <c r="S34" s="39">
        <f t="shared" si="13"/>
        <v>44.261989072313554</v>
      </c>
      <c r="T34" s="2">
        <f t="shared" si="14"/>
        <v>0</v>
      </c>
      <c r="U34" s="27"/>
      <c r="V34" s="40">
        <f t="shared" si="15"/>
        <v>21</v>
      </c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128">
        <f t="shared" ref="AG34:AG43" si="20">F34</f>
        <v>92</v>
      </c>
      <c r="AH34" s="128">
        <f t="shared" ref="AH34:AH43" si="21">M34</f>
        <v>4.790798829354145</v>
      </c>
      <c r="AI34" s="128">
        <f t="shared" si="16"/>
        <v>-4.7907988293541557</v>
      </c>
      <c r="AJ34" s="128">
        <f t="shared" si="16"/>
        <v>0</v>
      </c>
      <c r="AK34" s="128">
        <f t="shared" ref="AK34:AK43" si="22">Q34</f>
        <v>8.6370739097347453</v>
      </c>
      <c r="AL34" s="27"/>
      <c r="AM34" s="134">
        <f t="shared" ref="AM34:AM43" si="23">AG34/AG$38-1</f>
        <v>4.5454545454545414E-2</v>
      </c>
      <c r="AN34" s="135">
        <f t="shared" si="17"/>
        <v>7.8372124181048219E-2</v>
      </c>
      <c r="AO34" s="135">
        <f t="shared" si="18"/>
        <v>-0.15772807505241859</v>
      </c>
      <c r="AP34" s="135">
        <f t="shared" si="18"/>
        <v>0</v>
      </c>
      <c r="AQ34" s="134">
        <f t="shared" ref="AQ34:AQ43" si="24">(Q34+60)/(Q$38+60) -1</f>
        <v>0.14395123182891223</v>
      </c>
    </row>
    <row r="35" spans="1:43">
      <c r="A35" s="27"/>
      <c r="B35" s="20">
        <f>B38</f>
        <v>183</v>
      </c>
      <c r="C35" s="18">
        <f t="shared" si="6"/>
        <v>162.89629500000001</v>
      </c>
      <c r="D35" s="63"/>
      <c r="E35" s="63">
        <f t="shared" ref="E35" si="25">3*E31+E38</f>
        <v>115</v>
      </c>
      <c r="F35" s="63">
        <f>3*F31+F38</f>
        <v>91</v>
      </c>
      <c r="H35" s="27"/>
      <c r="I35" s="44">
        <f t="shared" si="8"/>
        <v>26.854458809635489</v>
      </c>
      <c r="J35" s="44">
        <f t="shared" si="9"/>
        <v>91.50264903743151</v>
      </c>
      <c r="K35" s="9">
        <f t="shared" si="10"/>
        <v>64.648190227796022</v>
      </c>
      <c r="L35" s="27"/>
      <c r="M35" s="69">
        <f>K35-K38</f>
        <v>3.5193273902024487</v>
      </c>
      <c r="N35" s="69">
        <f>I35-I38</f>
        <v>-3.5193273902024522</v>
      </c>
      <c r="O35" s="9">
        <f>J35-J38</f>
        <v>0</v>
      </c>
      <c r="P35" s="41">
        <f t="shared" si="11"/>
        <v>52.851910036096754</v>
      </c>
      <c r="Q35" s="62">
        <f>P38-P35</f>
        <v>6.3078642428299929</v>
      </c>
      <c r="R35" s="61">
        <f t="shared" si="12"/>
        <v>105.73240172866643</v>
      </c>
      <c r="S35" s="39">
        <f t="shared" si="13"/>
        <v>40.903500873934341</v>
      </c>
      <c r="T35" s="2">
        <f t="shared" si="14"/>
        <v>0</v>
      </c>
      <c r="U35" s="27"/>
      <c r="V35" s="40">
        <f t="shared" si="15"/>
        <v>22</v>
      </c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128">
        <f t="shared" si="20"/>
        <v>91</v>
      </c>
      <c r="AH35" s="128">
        <f t="shared" si="21"/>
        <v>3.5193273902024487</v>
      </c>
      <c r="AI35" s="128">
        <f t="shared" si="16"/>
        <v>-3.5193273902024522</v>
      </c>
      <c r="AJ35" s="128">
        <f t="shared" si="16"/>
        <v>0</v>
      </c>
      <c r="AK35" s="128">
        <f t="shared" si="22"/>
        <v>6.3078642428299929</v>
      </c>
      <c r="AL35" s="27"/>
      <c r="AM35" s="134">
        <f t="shared" si="23"/>
        <v>3.4090909090909172E-2</v>
      </c>
      <c r="AN35" s="135">
        <f t="shared" si="17"/>
        <v>5.7572269903867657E-2</v>
      </c>
      <c r="AO35" s="135">
        <f t="shared" si="18"/>
        <v>-0.11586726024367777</v>
      </c>
      <c r="AP35" s="135">
        <f t="shared" si="18"/>
        <v>0</v>
      </c>
      <c r="AQ35" s="134">
        <f t="shared" si="24"/>
        <v>0.10513107071383332</v>
      </c>
    </row>
    <row r="36" spans="1:43">
      <c r="A36" s="27"/>
      <c r="B36" s="20">
        <f>B38</f>
        <v>183</v>
      </c>
      <c r="C36" s="18">
        <f t="shared" si="6"/>
        <v>162.89629500000001</v>
      </c>
      <c r="D36" s="63"/>
      <c r="E36" s="63">
        <f t="shared" ref="E36" si="26">2*E31+E38</f>
        <v>115</v>
      </c>
      <c r="F36" s="63">
        <f>2*F31+F38</f>
        <v>90</v>
      </c>
      <c r="H36" s="27"/>
      <c r="I36" s="44">
        <f t="shared" si="8"/>
        <v>28.072486935852954</v>
      </c>
      <c r="J36" s="44">
        <f t="shared" si="9"/>
        <v>91.50264903743151</v>
      </c>
      <c r="K36" s="9">
        <f t="shared" si="10"/>
        <v>63.43016210157856</v>
      </c>
      <c r="L36" s="27"/>
      <c r="M36" s="69">
        <f>K36-K38</f>
        <v>2.301299263984987</v>
      </c>
      <c r="N36" s="69">
        <f>I36-I38</f>
        <v>-2.301299263984987</v>
      </c>
      <c r="O36" s="9">
        <f>J36-J38</f>
        <v>0</v>
      </c>
      <c r="P36" s="41">
        <f t="shared" si="11"/>
        <v>55.058823529411761</v>
      </c>
      <c r="Q36" s="62">
        <f>P38-P36</f>
        <v>4.1009507495149862</v>
      </c>
      <c r="R36" s="61">
        <f t="shared" si="12"/>
        <v>104.64360962381541</v>
      </c>
      <c r="S36" s="39">
        <f t="shared" si="13"/>
        <v>37.667266793157779</v>
      </c>
      <c r="T36" s="2">
        <f t="shared" si="14"/>
        <v>0</v>
      </c>
      <c r="U36" s="27"/>
      <c r="V36" s="40">
        <f t="shared" si="15"/>
        <v>23</v>
      </c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128">
        <f t="shared" si="20"/>
        <v>90</v>
      </c>
      <c r="AH36" s="128">
        <f t="shared" si="21"/>
        <v>2.301299263984987</v>
      </c>
      <c r="AI36" s="128">
        <f t="shared" si="16"/>
        <v>-2.301299263984987</v>
      </c>
      <c r="AJ36" s="128">
        <f t="shared" si="16"/>
        <v>0</v>
      </c>
      <c r="AK36" s="128">
        <f t="shared" si="22"/>
        <v>4.1009507495149862</v>
      </c>
      <c r="AL36" s="27"/>
      <c r="AM36" s="134">
        <f t="shared" si="23"/>
        <v>2.2727272727272707E-2</v>
      </c>
      <c r="AN36" s="135">
        <f t="shared" si="17"/>
        <v>3.7646688604351386E-2</v>
      </c>
      <c r="AO36" s="135">
        <f t="shared" si="18"/>
        <v>-7.5765966377852045E-2</v>
      </c>
      <c r="AP36" s="135">
        <f t="shared" si="18"/>
        <v>0</v>
      </c>
      <c r="AQ36" s="134">
        <f t="shared" si="24"/>
        <v>6.8349179158583295E-2</v>
      </c>
    </row>
    <row r="37" spans="1:43">
      <c r="A37" s="27"/>
      <c r="B37" s="20">
        <f>B38</f>
        <v>183</v>
      </c>
      <c r="C37" s="18">
        <f t="shared" si="6"/>
        <v>162.89629500000001</v>
      </c>
      <c r="D37" s="63"/>
      <c r="E37" s="63">
        <f t="shared" ref="E37" si="27">E38+E31</f>
        <v>115</v>
      </c>
      <c r="F37" s="63">
        <f>F38+F31</f>
        <v>89</v>
      </c>
      <c r="H37" s="27"/>
      <c r="I37" s="44">
        <f t="shared" si="8"/>
        <v>29.243783142151937</v>
      </c>
      <c r="J37" s="44">
        <f t="shared" si="9"/>
        <v>91.50264903743151</v>
      </c>
      <c r="K37" s="9">
        <f t="shared" si="10"/>
        <v>62.25886589527957</v>
      </c>
      <c r="L37" s="27"/>
      <c r="M37" s="69">
        <f>K37-K38</f>
        <v>1.1300030576859967</v>
      </c>
      <c r="N37" s="69">
        <f>I37-I38</f>
        <v>-1.1300030576860038</v>
      </c>
      <c r="O37" s="9">
        <f>J37-J38</f>
        <v>0</v>
      </c>
      <c r="P37" s="41">
        <f t="shared" si="11"/>
        <v>57.15760854455749</v>
      </c>
      <c r="Q37" s="62">
        <f>P38-P37</f>
        <v>2.0021657343692567</v>
      </c>
      <c r="R37" s="61">
        <f t="shared" si="12"/>
        <v>103.55198204783886</v>
      </c>
      <c r="S37" s="39">
        <f t="shared" si="13"/>
        <v>34.539124006640705</v>
      </c>
      <c r="T37" s="2">
        <f t="shared" si="14"/>
        <v>0</v>
      </c>
      <c r="U37" s="27"/>
      <c r="V37" s="40">
        <f t="shared" si="15"/>
        <v>24</v>
      </c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128">
        <f t="shared" si="20"/>
        <v>89</v>
      </c>
      <c r="AH37" s="128">
        <f t="shared" si="21"/>
        <v>1.1300030576859967</v>
      </c>
      <c r="AI37" s="128">
        <f t="shared" si="16"/>
        <v>-1.1300030576860038</v>
      </c>
      <c r="AJ37" s="128">
        <f t="shared" si="16"/>
        <v>0</v>
      </c>
      <c r="AK37" s="128">
        <f t="shared" si="22"/>
        <v>2.0021657343692567</v>
      </c>
      <c r="AL37" s="27"/>
      <c r="AM37" s="134">
        <f t="shared" si="23"/>
        <v>1.1363636363636465E-2</v>
      </c>
      <c r="AN37" s="135">
        <f t="shared" si="17"/>
        <v>1.8485589380063727E-2</v>
      </c>
      <c r="AO37" s="135">
        <f t="shared" si="18"/>
        <v>-3.7203233414872527E-2</v>
      </c>
      <c r="AP37" s="135">
        <f t="shared" si="18"/>
        <v>0</v>
      </c>
      <c r="AQ37" s="134">
        <f t="shared" si="24"/>
        <v>3.3369428906154353E-2</v>
      </c>
    </row>
    <row r="38" spans="1:43" s="15" customFormat="1">
      <c r="B38" s="158">
        <v>183</v>
      </c>
      <c r="C38" s="37">
        <f>100*(0.297865*B38/100+1.08387)</f>
        <v>162.89629500000001</v>
      </c>
      <c r="D38" s="40"/>
      <c r="E38" s="147">
        <v>115</v>
      </c>
      <c r="F38" s="147">
        <v>88</v>
      </c>
      <c r="I38" s="44">
        <f>DEGREES(ACOS((F38+D38/2)/(E38+2-15)))</f>
        <v>30.373786199837941</v>
      </c>
      <c r="J38" s="44">
        <f>DEGREES(C38/(E38-15+2))</f>
        <v>91.50264903743151</v>
      </c>
      <c r="K38" s="44">
        <f>J38-I38</f>
        <v>61.128862837593573</v>
      </c>
      <c r="M38" s="70">
        <f>K38-K38</f>
        <v>0</v>
      </c>
      <c r="N38" s="70">
        <f>I38-I38</f>
        <v>0</v>
      </c>
      <c r="O38" s="44">
        <f>J38-J38</f>
        <v>0</v>
      </c>
      <c r="P38" s="41">
        <f>(E38+2)*SIN(RADIANS(I38))</f>
        <v>59.159774278926747</v>
      </c>
      <c r="Q38" s="41">
        <f>P38-P38</f>
        <v>0</v>
      </c>
      <c r="R38" s="39">
        <f t="shared" si="12"/>
        <v>102.45782080834047</v>
      </c>
      <c r="S38" s="39">
        <f>(F38)- (E38+2)*COS(RADIANS(K38))</f>
        <v>31.507567274846515</v>
      </c>
      <c r="T38" s="43">
        <f t="shared" si="14"/>
        <v>0</v>
      </c>
      <c r="V38" s="40">
        <f t="shared" si="15"/>
        <v>25</v>
      </c>
      <c r="AG38" s="148">
        <f t="shared" si="20"/>
        <v>88</v>
      </c>
      <c r="AH38" s="148">
        <f t="shared" si="21"/>
        <v>0</v>
      </c>
      <c r="AI38" s="148">
        <f t="shared" si="16"/>
        <v>0</v>
      </c>
      <c r="AJ38" s="148">
        <f t="shared" si="16"/>
        <v>0</v>
      </c>
      <c r="AK38" s="148">
        <f t="shared" si="22"/>
        <v>0</v>
      </c>
      <c r="AM38" s="150">
        <f t="shared" si="23"/>
        <v>0</v>
      </c>
      <c r="AN38" s="151">
        <f t="shared" si="17"/>
        <v>0</v>
      </c>
      <c r="AO38" s="151">
        <f t="shared" si="18"/>
        <v>0</v>
      </c>
      <c r="AP38" s="151">
        <f t="shared" si="18"/>
        <v>0</v>
      </c>
      <c r="AQ38" s="150">
        <f t="shared" si="24"/>
        <v>0</v>
      </c>
    </row>
    <row r="39" spans="1:43">
      <c r="A39" s="59"/>
      <c r="B39" s="20">
        <f>B38</f>
        <v>183</v>
      </c>
      <c r="C39" s="18">
        <f>100*(0.297865*B43/100+1.08387)</f>
        <v>162.89629500000001</v>
      </c>
      <c r="D39" s="63"/>
      <c r="E39" s="63">
        <f t="shared" ref="E39" si="28">E38-E31</f>
        <v>115</v>
      </c>
      <c r="F39" s="63">
        <f>F38-F31</f>
        <v>87</v>
      </c>
      <c r="H39" s="59"/>
      <c r="I39" s="44">
        <f t="shared" ref="I39:I43" si="29">DEGREES(ACOS((F39+D39/2)/(E39+2-15)))</f>
        <v>31.466976293267564</v>
      </c>
      <c r="J39" s="44">
        <f t="shared" ref="J39:J43" si="30">DEGREES(C39/(E39-15+2))</f>
        <v>91.50264903743151</v>
      </c>
      <c r="K39" s="9">
        <f t="shared" ref="K39:K43" si="31">J39-I39</f>
        <v>60.035672744163946</v>
      </c>
      <c r="L39" s="59"/>
      <c r="M39" s="69">
        <f>K39-K38</f>
        <v>-1.0931900934296266</v>
      </c>
      <c r="N39" s="69">
        <f>I39-I38</f>
        <v>1.093190093429623</v>
      </c>
      <c r="O39" s="9">
        <f>J39-J38</f>
        <v>0</v>
      </c>
      <c r="P39" s="41">
        <f t="shared" ref="P39:P43" si="32">(E39+2)*SIN(RADIANS(I39))</f>
        <v>61.074823643175456</v>
      </c>
      <c r="Q39" s="62">
        <f>P38-P39</f>
        <v>-1.9150493642487092</v>
      </c>
      <c r="R39" s="61">
        <f t="shared" si="12"/>
        <v>101.36137510173202</v>
      </c>
      <c r="S39" s="39">
        <f t="shared" ref="S39:S43" si="33">(F39)- (E39+2)*COS(RADIANS(K39))</f>
        <v>28.563096955040635</v>
      </c>
      <c r="T39" s="2">
        <f t="shared" si="14"/>
        <v>0</v>
      </c>
      <c r="U39" s="59"/>
      <c r="V39" s="40">
        <f t="shared" si="15"/>
        <v>26</v>
      </c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128">
        <f t="shared" si="20"/>
        <v>87</v>
      </c>
      <c r="AH39" s="128">
        <f t="shared" si="21"/>
        <v>-1.0931900934296266</v>
      </c>
      <c r="AI39" s="128">
        <f t="shared" si="16"/>
        <v>1.093190093429623</v>
      </c>
      <c r="AJ39" s="128">
        <f t="shared" si="16"/>
        <v>0</v>
      </c>
      <c r="AK39" s="128">
        <f t="shared" si="22"/>
        <v>-1.9150493642487092</v>
      </c>
      <c r="AL39" s="59"/>
      <c r="AM39" s="134">
        <f t="shared" si="23"/>
        <v>-1.1363636363636354E-2</v>
      </c>
      <c r="AN39" s="135">
        <f t="shared" si="17"/>
        <v>-1.7883370353772188E-2</v>
      </c>
      <c r="AO39" s="135">
        <f t="shared" si="18"/>
        <v>3.5991235542293332E-2</v>
      </c>
      <c r="AP39" s="135">
        <f t="shared" si="18"/>
        <v>0</v>
      </c>
      <c r="AQ39" s="134">
        <f t="shared" si="24"/>
        <v>-3.1917489404145183E-2</v>
      </c>
    </row>
    <row r="40" spans="1:43">
      <c r="A40" s="59"/>
      <c r="B40" s="20">
        <f>B38</f>
        <v>183</v>
      </c>
      <c r="C40" s="18">
        <f t="shared" ref="C40:C43" si="34">100*(0.297865*B40/100+1.08387)</f>
        <v>162.89629500000001</v>
      </c>
      <c r="D40" s="63"/>
      <c r="E40" s="63">
        <f t="shared" ref="E40" si="35">E38-2*E31</f>
        <v>115</v>
      </c>
      <c r="F40" s="63">
        <f>F38-2*F31</f>
        <v>86</v>
      </c>
      <c r="H40" s="59"/>
      <c r="I40" s="44">
        <f t="shared" si="29"/>
        <v>32.527095987158376</v>
      </c>
      <c r="J40" s="44">
        <f t="shared" si="30"/>
        <v>91.50264903743151</v>
      </c>
      <c r="K40" s="9">
        <f t="shared" si="31"/>
        <v>58.975553050273135</v>
      </c>
      <c r="L40" s="59"/>
      <c r="M40" s="69">
        <f>K40-K38</f>
        <v>-2.1533097873204383</v>
      </c>
      <c r="N40" s="69">
        <f>I40-I38</f>
        <v>2.1533097873204348</v>
      </c>
      <c r="O40" s="9">
        <f>J40-J38</f>
        <v>0</v>
      </c>
      <c r="P40" s="41">
        <f t="shared" si="32"/>
        <v>62.91071280368017</v>
      </c>
      <c r="Q40" s="62">
        <f>P38-P40</f>
        <v>-3.7509385247534226</v>
      </c>
      <c r="R40" s="61">
        <f t="shared" si="12"/>
        <v>100.26285356389199</v>
      </c>
      <c r="S40" s="39">
        <f t="shared" si="33"/>
        <v>25.697759616863728</v>
      </c>
      <c r="T40" s="2">
        <f t="shared" si="14"/>
        <v>0</v>
      </c>
      <c r="U40" s="59"/>
      <c r="V40" s="40">
        <f t="shared" si="15"/>
        <v>27</v>
      </c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128">
        <f t="shared" si="20"/>
        <v>86</v>
      </c>
      <c r="AH40" s="128">
        <f t="shared" si="21"/>
        <v>-2.1533097873204383</v>
      </c>
      <c r="AI40" s="128">
        <f t="shared" si="16"/>
        <v>2.1533097873204348</v>
      </c>
      <c r="AJ40" s="128">
        <f t="shared" si="16"/>
        <v>0</v>
      </c>
      <c r="AK40" s="128">
        <f t="shared" si="22"/>
        <v>-3.7509385247534226</v>
      </c>
      <c r="AL40" s="59"/>
      <c r="AM40" s="134">
        <f t="shared" si="23"/>
        <v>-2.2727272727272707E-2</v>
      </c>
      <c r="AN40" s="135">
        <f t="shared" si="17"/>
        <v>-3.5225745864786107E-2</v>
      </c>
      <c r="AO40" s="135">
        <f t="shared" si="18"/>
        <v>7.089369014297997E-2</v>
      </c>
      <c r="AP40" s="135">
        <f t="shared" si="18"/>
        <v>0</v>
      </c>
      <c r="AQ40" s="134">
        <f t="shared" si="24"/>
        <v>-6.2515642079223666E-2</v>
      </c>
    </row>
    <row r="41" spans="1:43">
      <c r="A41" s="59"/>
      <c r="B41" s="20">
        <f>B38</f>
        <v>183</v>
      </c>
      <c r="C41" s="18">
        <f t="shared" si="34"/>
        <v>162.89629500000001</v>
      </c>
      <c r="D41" s="63"/>
      <c r="E41" s="63">
        <f t="shared" ref="E41" si="36">E38-3*E31</f>
        <v>115</v>
      </c>
      <c r="F41" s="63">
        <f>F38-3*F31</f>
        <v>85</v>
      </c>
      <c r="H41" s="59"/>
      <c r="I41" s="44">
        <f t="shared" si="29"/>
        <v>33.557309761920713</v>
      </c>
      <c r="J41" s="44">
        <f t="shared" si="30"/>
        <v>91.50264903743151</v>
      </c>
      <c r="K41" s="9">
        <f t="shared" si="31"/>
        <v>57.945339275510797</v>
      </c>
      <c r="L41" s="59"/>
      <c r="M41" s="69">
        <f>K41-K38</f>
        <v>-3.183523562082776</v>
      </c>
      <c r="N41" s="69">
        <f>I41-I38</f>
        <v>3.1835235620827724</v>
      </c>
      <c r="O41" s="9">
        <f>J41-J38</f>
        <v>0</v>
      </c>
      <c r="P41" s="41">
        <f t="shared" si="32"/>
        <v>64.674183411930287</v>
      </c>
      <c r="Q41" s="62">
        <f>P38-P41</f>
        <v>-5.5144091330035394</v>
      </c>
      <c r="R41" s="61">
        <f t="shared" si="12"/>
        <v>99.162432982272293</v>
      </c>
      <c r="S41" s="39">
        <f t="shared" si="33"/>
        <v>22.904815927188402</v>
      </c>
      <c r="T41" s="2">
        <f t="shared" si="14"/>
        <v>0</v>
      </c>
      <c r="U41" s="59"/>
      <c r="V41" s="40">
        <f t="shared" si="15"/>
        <v>28</v>
      </c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128">
        <f t="shared" si="20"/>
        <v>85</v>
      </c>
      <c r="AH41" s="128">
        <f t="shared" si="21"/>
        <v>-3.183523562082776</v>
      </c>
      <c r="AI41" s="128">
        <f t="shared" si="16"/>
        <v>3.1835235620827724</v>
      </c>
      <c r="AJ41" s="128">
        <f t="shared" si="16"/>
        <v>0</v>
      </c>
      <c r="AK41" s="128">
        <f t="shared" si="22"/>
        <v>-5.5144091330035394</v>
      </c>
      <c r="AL41" s="59"/>
      <c r="AM41" s="134">
        <f t="shared" si="23"/>
        <v>-3.4090909090909061E-2</v>
      </c>
      <c r="AN41" s="135">
        <f t="shared" si="17"/>
        <v>-5.2078893902226198E-2</v>
      </c>
      <c r="AO41" s="135">
        <f t="shared" si="18"/>
        <v>0.10481154839036022</v>
      </c>
      <c r="AP41" s="135">
        <f t="shared" si="18"/>
        <v>0</v>
      </c>
      <c r="AQ41" s="134">
        <f t="shared" si="24"/>
        <v>-9.190681888339236E-2</v>
      </c>
    </row>
    <row r="42" spans="1:43">
      <c r="A42" s="59"/>
      <c r="B42" s="20">
        <f>B38</f>
        <v>183</v>
      </c>
      <c r="C42" s="18">
        <f t="shared" si="34"/>
        <v>162.89629500000001</v>
      </c>
      <c r="D42" s="63"/>
      <c r="E42" s="63">
        <f t="shared" ref="E42" si="37">E38-4*E31</f>
        <v>115</v>
      </c>
      <c r="F42" s="63">
        <f>F38-4*F31</f>
        <v>84</v>
      </c>
      <c r="H42" s="59"/>
      <c r="I42" s="44">
        <f t="shared" si="29"/>
        <v>34.560321779997842</v>
      </c>
      <c r="J42" s="44">
        <f t="shared" si="30"/>
        <v>91.50264903743151</v>
      </c>
      <c r="K42" s="9">
        <f t="shared" si="31"/>
        <v>56.942327257433668</v>
      </c>
      <c r="L42" s="59"/>
      <c r="M42" s="69">
        <f>K42-K38</f>
        <v>-4.1865355801599051</v>
      </c>
      <c r="N42" s="69">
        <f>I42-I38</f>
        <v>4.1865355801599016</v>
      </c>
      <c r="O42" s="9">
        <f>J42-J38</f>
        <v>0</v>
      </c>
      <c r="P42" s="41">
        <f t="shared" si="32"/>
        <v>66.371008178598572</v>
      </c>
      <c r="Q42" s="62">
        <f>P38-P42</f>
        <v>-7.211233899671825</v>
      </c>
      <c r="R42" s="61">
        <f t="shared" si="12"/>
        <v>98.060264735628166</v>
      </c>
      <c r="S42" s="39">
        <f t="shared" si="33"/>
        <v>20.17849516049845</v>
      </c>
      <c r="T42" s="2">
        <f t="shared" si="14"/>
        <v>0</v>
      </c>
      <c r="U42" s="59"/>
      <c r="V42" s="40">
        <f t="shared" si="15"/>
        <v>29</v>
      </c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128">
        <f t="shared" si="20"/>
        <v>84</v>
      </c>
      <c r="AH42" s="128">
        <f t="shared" si="21"/>
        <v>-4.1865355801599051</v>
      </c>
      <c r="AI42" s="128">
        <f t="shared" si="16"/>
        <v>4.1865355801599016</v>
      </c>
      <c r="AJ42" s="128">
        <f t="shared" si="16"/>
        <v>0</v>
      </c>
      <c r="AK42" s="128">
        <f t="shared" si="22"/>
        <v>-7.211233899671825</v>
      </c>
      <c r="AL42" s="59"/>
      <c r="AM42" s="134">
        <f t="shared" si="23"/>
        <v>-4.5454545454545414E-2</v>
      </c>
      <c r="AN42" s="135">
        <f t="shared" si="17"/>
        <v>-6.8487051546871403E-2</v>
      </c>
      <c r="AO42" s="135">
        <f t="shared" si="18"/>
        <v>0.13783383976615471</v>
      </c>
      <c r="AP42" s="135">
        <f t="shared" si="18"/>
        <v>0</v>
      </c>
      <c r="AQ42" s="134">
        <f t="shared" si="24"/>
        <v>-0.12018723166119705</v>
      </c>
    </row>
    <row r="43" spans="1:43">
      <c r="A43" s="59"/>
      <c r="B43" s="20">
        <f>B38</f>
        <v>183</v>
      </c>
      <c r="C43" s="18">
        <f t="shared" si="34"/>
        <v>162.89629500000001</v>
      </c>
      <c r="D43" s="63"/>
      <c r="E43" s="63">
        <f t="shared" ref="E43" si="38">E38-5*E31</f>
        <v>115</v>
      </c>
      <c r="F43" s="63">
        <f>F38-5*F31</f>
        <v>83</v>
      </c>
      <c r="H43" s="59"/>
      <c r="I43" s="44">
        <f t="shared" si="29"/>
        <v>35.538464515621705</v>
      </c>
      <c r="J43" s="44">
        <f t="shared" si="30"/>
        <v>91.50264903743151</v>
      </c>
      <c r="K43" s="9">
        <f t="shared" si="31"/>
        <v>55.964184521809806</v>
      </c>
      <c r="L43" s="59"/>
      <c r="M43" s="69">
        <f>K43-K38</f>
        <v>-5.1646783157837675</v>
      </c>
      <c r="N43" s="69">
        <f>I43-I38</f>
        <v>5.1646783157837639</v>
      </c>
      <c r="O43" s="9">
        <f>J43-J38</f>
        <v>0</v>
      </c>
      <c r="P43" s="41">
        <f t="shared" si="32"/>
        <v>68.006175935703979</v>
      </c>
      <c r="Q43" s="62">
        <f>P38-P43</f>
        <v>-8.8464016567772319</v>
      </c>
      <c r="R43" s="61">
        <f t="shared" si="12"/>
        <v>96.956479646934085</v>
      </c>
      <c r="S43" s="39">
        <f t="shared" si="33"/>
        <v>17.513810200366251</v>
      </c>
      <c r="T43" s="2">
        <f t="shared" si="14"/>
        <v>0</v>
      </c>
      <c r="U43" s="59"/>
      <c r="V43" s="40">
        <f t="shared" si="15"/>
        <v>30</v>
      </c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128">
        <f t="shared" si="20"/>
        <v>83</v>
      </c>
      <c r="AH43" s="128">
        <f t="shared" si="21"/>
        <v>-5.1646783157837675</v>
      </c>
      <c r="AI43" s="128">
        <f t="shared" si="16"/>
        <v>5.1646783157837639</v>
      </c>
      <c r="AJ43" s="128">
        <f t="shared" si="16"/>
        <v>0</v>
      </c>
      <c r="AK43" s="128">
        <f t="shared" si="22"/>
        <v>-8.8464016567772319</v>
      </c>
      <c r="AL43" s="59"/>
      <c r="AM43" s="134">
        <f t="shared" si="23"/>
        <v>-5.6818181818181768E-2</v>
      </c>
      <c r="AN43" s="135">
        <f t="shared" si="17"/>
        <v>-8.4488375475022748E-2</v>
      </c>
      <c r="AO43" s="135">
        <f t="shared" si="18"/>
        <v>0.17003735661414909</v>
      </c>
      <c r="AP43" s="135">
        <f t="shared" si="18"/>
        <v>0</v>
      </c>
      <c r="AQ43" s="134">
        <f t="shared" si="24"/>
        <v>-0.14744002761295383</v>
      </c>
    </row>
    <row r="44" spans="1:43" ht="16.5" customHeight="1">
      <c r="A44" s="12"/>
      <c r="B44" s="5"/>
      <c r="C44" s="19" t="s">
        <v>24</v>
      </c>
      <c r="D44" s="19"/>
      <c r="E44" s="19"/>
      <c r="F44" s="5"/>
      <c r="G44" s="13"/>
      <c r="H44" s="13"/>
      <c r="I44" s="13"/>
      <c r="J44" s="12"/>
      <c r="K44" s="13"/>
      <c r="L44" s="12"/>
      <c r="M44" s="13"/>
      <c r="N44" s="13"/>
      <c r="O44" s="13"/>
      <c r="P44" s="14"/>
      <c r="Q44" s="13"/>
      <c r="R44" s="13"/>
      <c r="S44" s="13"/>
      <c r="T44" s="13"/>
      <c r="U44" s="13"/>
      <c r="V44" s="13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7"/>
      <c r="AH44" s="126"/>
      <c r="AI44" s="126"/>
      <c r="AJ44" s="126"/>
      <c r="AK44" s="127"/>
      <c r="AL44" s="12"/>
      <c r="AM44" s="12"/>
      <c r="AN44" s="12"/>
      <c r="AO44" s="12"/>
      <c r="AP44" s="12"/>
      <c r="AQ44" s="12"/>
    </row>
    <row r="45" spans="1:43" s="59" customFormat="1">
      <c r="A45" s="15" t="s">
        <v>40</v>
      </c>
      <c r="AG45" s="127"/>
      <c r="AH45" s="126"/>
      <c r="AI45" s="126"/>
      <c r="AJ45" s="126"/>
      <c r="AK45" s="127"/>
    </row>
    <row r="46" spans="1:43" s="59" customFormat="1" ht="30.75" customHeight="1">
      <c r="A46" s="20"/>
      <c r="B46" s="20"/>
      <c r="C46" s="20"/>
      <c r="D46" s="20"/>
      <c r="E46" s="20"/>
      <c r="F46" s="20"/>
      <c r="G46" s="12"/>
      <c r="M46" s="236" t="s">
        <v>14</v>
      </c>
      <c r="N46" s="237"/>
      <c r="V46" s="5"/>
    </row>
    <row r="47" spans="1:43" s="27" customFormat="1" ht="137.25">
      <c r="B47" s="28" t="s">
        <v>12</v>
      </c>
      <c r="C47" s="28" t="s">
        <v>8</v>
      </c>
      <c r="D47" s="65" t="s">
        <v>42</v>
      </c>
      <c r="E47" s="28" t="s">
        <v>3</v>
      </c>
      <c r="F47" s="28" t="s">
        <v>4</v>
      </c>
      <c r="G47" s="28" t="s">
        <v>41</v>
      </c>
      <c r="I47" s="28" t="s">
        <v>1</v>
      </c>
      <c r="J47" s="28" t="s">
        <v>6</v>
      </c>
      <c r="K47" s="28" t="s">
        <v>5</v>
      </c>
      <c r="L47" s="31" t="s">
        <v>49</v>
      </c>
      <c r="M47" s="31" t="s">
        <v>9</v>
      </c>
      <c r="N47" s="28" t="s">
        <v>18</v>
      </c>
      <c r="O47" s="28" t="s">
        <v>19</v>
      </c>
      <c r="P47" s="32" t="s">
        <v>25</v>
      </c>
      <c r="Q47" s="28" t="s">
        <v>27</v>
      </c>
      <c r="R47" s="67" t="s">
        <v>26</v>
      </c>
      <c r="S47" s="28" t="s">
        <v>28</v>
      </c>
      <c r="T47" s="28" t="s">
        <v>130</v>
      </c>
      <c r="U47" s="66" t="s">
        <v>35</v>
      </c>
      <c r="V47" s="66" t="s">
        <v>31</v>
      </c>
      <c r="W47" s="28" t="s">
        <v>34</v>
      </c>
      <c r="X47" s="28" t="s">
        <v>30</v>
      </c>
      <c r="Y47" s="28" t="s">
        <v>43</v>
      </c>
      <c r="Z47" s="65" t="s">
        <v>29</v>
      </c>
      <c r="AA47" s="28" t="s">
        <v>32</v>
      </c>
      <c r="AC47" s="28" t="s">
        <v>36</v>
      </c>
      <c r="AD47" s="66" t="s">
        <v>37</v>
      </c>
      <c r="AE47" s="66" t="s">
        <v>48</v>
      </c>
      <c r="AF47" s="68" t="s">
        <v>38</v>
      </c>
      <c r="AG47" s="28" t="str">
        <f t="shared" ref="AG47:AG58" si="39">F47</f>
        <v>span (cm)</v>
      </c>
      <c r="AH47" s="28" t="s">
        <v>113</v>
      </c>
      <c r="AI47" s="28" t="s">
        <v>114</v>
      </c>
      <c r="AJ47" s="28" t="s">
        <v>115</v>
      </c>
      <c r="AK47" s="28" t="str">
        <f t="shared" ref="AK47:AK58" si="40">Q32</f>
        <v>distance to move stretcher to stern (cm)</v>
      </c>
      <c r="AM47" s="28" t="str">
        <f>AG47</f>
        <v>span (cm)</v>
      </c>
      <c r="AN47" s="28" t="str">
        <f t="shared" ref="AN47:AQ47" si="41">AH47</f>
        <v>Change in catch angle (deg)</v>
      </c>
      <c r="AO47" s="28" t="str">
        <f t="shared" si="41"/>
        <v>Change in finish angle (deg)</v>
      </c>
      <c r="AP47" s="28" t="str">
        <f t="shared" si="41"/>
        <v>Change in sweep angle (deg)</v>
      </c>
      <c r="AQ47" s="28" t="str">
        <f t="shared" si="41"/>
        <v>distance to move stretcher to stern (cm)</v>
      </c>
    </row>
    <row r="48" spans="1:43" s="27" customFormat="1">
      <c r="B48" s="20">
        <f>B33</f>
        <v>183</v>
      </c>
      <c r="C48" s="18">
        <f t="shared" ref="C48:C52" si="42">100*(0.297865*B48/100+1.08387)</f>
        <v>162.89629500000001</v>
      </c>
      <c r="D48" s="140">
        <f>D33</f>
        <v>0</v>
      </c>
      <c r="E48" s="63">
        <f t="shared" ref="E48:F48" si="43">E33</f>
        <v>115</v>
      </c>
      <c r="F48" s="63">
        <f t="shared" si="43"/>
        <v>93</v>
      </c>
      <c r="G48" s="63">
        <f t="shared" ref="G48:G52" si="44">(E48+2)*2 -F48</f>
        <v>141</v>
      </c>
      <c r="I48" s="61">
        <f t="shared" ref="I48:I58" si="45">I33</f>
        <v>24.249628602505194</v>
      </c>
      <c r="J48" s="61"/>
      <c r="K48" s="63"/>
      <c r="L48" s="62">
        <f t="shared" ref="L48:L58" si="46">((F48-D48)/2)*TAN(RADIANS(I48))</f>
        <v>20.946360065653412</v>
      </c>
      <c r="M48" s="62">
        <f>L48-L53</f>
        <v>-4.8412338508018316</v>
      </c>
      <c r="N48" s="63"/>
      <c r="O48" s="63"/>
      <c r="P48" s="23">
        <f>P$53</f>
        <v>1</v>
      </c>
      <c r="Q48" s="20">
        <f t="shared" ref="Q48:Q58" si="47">B48 *P48</f>
        <v>183</v>
      </c>
      <c r="R48" s="23">
        <f>R53</f>
        <v>0.3</v>
      </c>
      <c r="S48" s="61">
        <f>Q48*R48</f>
        <v>54.9</v>
      </c>
      <c r="T48" s="61">
        <f t="shared" ref="T48:T52" si="48">Q48*(1-R48)/2</f>
        <v>64.05</v>
      </c>
      <c r="U48" s="69">
        <f t="shared" ref="U48:U52" si="49">2*DEGREES(ASIN(T48/2/(E48+2)))</f>
        <v>31.771253688761071</v>
      </c>
      <c r="V48" s="69"/>
      <c r="W48" s="61">
        <f>W53</f>
        <v>16.55</v>
      </c>
      <c r="X48" s="61"/>
      <c r="Y48" s="61">
        <f>COS(RADIANS(17))*((Q48-S48)/2 -8)</f>
        <v>53.600881571728131</v>
      </c>
      <c r="Z48" s="61" t="e">
        <f>Z53-M48</f>
        <v>#NUM!</v>
      </c>
      <c r="AA48" s="61" t="e">
        <f>SQRT(Z48*Z48+W48*W48)</f>
        <v>#NUM!</v>
      </c>
      <c r="AC48" s="4">
        <f t="shared" ref="AC48:AC58" si="50">V48+U48</f>
        <v>31.771253688761071</v>
      </c>
      <c r="AD48" s="69">
        <f>AC48-AC53</f>
        <v>-29.357609148832502</v>
      </c>
      <c r="AE48" s="69">
        <f t="shared" ref="AE48:AE58" si="51">AC48+I48</f>
        <v>56.020882291266261</v>
      </c>
      <c r="AF48" s="64">
        <f>AE48-J53</f>
        <v>-35.481766746165249</v>
      </c>
      <c r="AG48" s="128">
        <f t="shared" si="39"/>
        <v>93</v>
      </c>
      <c r="AH48" s="128">
        <f t="shared" ref="AH48:AH58" si="52">AD48</f>
        <v>-29.357609148832502</v>
      </c>
      <c r="AI48" s="128">
        <f>N33</f>
        <v>-6.1241575973327471</v>
      </c>
      <c r="AJ48" s="128">
        <f t="shared" ref="AJ48:AJ58" si="53">AF48</f>
        <v>-35.481766746165249</v>
      </c>
      <c r="AK48" s="128">
        <f t="shared" si="40"/>
        <v>11.106360010663032</v>
      </c>
      <c r="AM48" s="134">
        <f t="shared" ref="AM48:AM58" si="54">AG48/AG$53-1</f>
        <v>5.6818181818181879E-2</v>
      </c>
      <c r="AN48" s="135">
        <f t="shared" ref="AN48:AN58" si="55">AC48/AC$53-1</f>
        <v>-0.48025773400741056</v>
      </c>
      <c r="AO48" s="135">
        <f t="shared" ref="AO48:AO58" si="56">I48/I$53-1</f>
        <v>-0.20162641420599126</v>
      </c>
      <c r="AP48" s="134">
        <f t="shared" ref="AP48:AP58" si="57">AE48/AE$53-1</f>
        <v>-0.38776764519298801</v>
      </c>
      <c r="AQ48" s="134">
        <f t="shared" ref="AQ48:AQ58" si="58">(Q33+60)/(Q$38+60) -1</f>
        <v>0.18510600017771717</v>
      </c>
    </row>
    <row r="49" spans="1:43" s="27" customFormat="1">
      <c r="B49" s="20">
        <f t="shared" ref="B49:B58" si="59">B34</f>
        <v>183</v>
      </c>
      <c r="C49" s="18">
        <f t="shared" si="42"/>
        <v>162.89629500000001</v>
      </c>
      <c r="D49" s="140">
        <f t="shared" ref="D49:F58" si="60">D34</f>
        <v>0</v>
      </c>
      <c r="E49" s="63">
        <f t="shared" si="60"/>
        <v>115</v>
      </c>
      <c r="F49" s="63">
        <f t="shared" si="60"/>
        <v>92</v>
      </c>
      <c r="G49" s="63">
        <f t="shared" si="44"/>
        <v>142</v>
      </c>
      <c r="I49" s="61">
        <f t="shared" si="45"/>
        <v>25.582987370483785</v>
      </c>
      <c r="J49" s="61"/>
      <c r="K49" s="63"/>
      <c r="L49" s="62">
        <f t="shared" si="46"/>
        <v>22.022715545545232</v>
      </c>
      <c r="M49" s="62">
        <f>L49-L53</f>
        <v>-3.7648783709100115</v>
      </c>
      <c r="N49" s="63"/>
      <c r="O49" s="63"/>
      <c r="P49" s="23">
        <f>P$53</f>
        <v>1</v>
      </c>
      <c r="Q49" s="20">
        <f t="shared" si="47"/>
        <v>183</v>
      </c>
      <c r="R49" s="23">
        <f>R53</f>
        <v>0.3</v>
      </c>
      <c r="S49" s="61">
        <f t="shared" ref="S49:S52" si="61">Q49*R49</f>
        <v>54.9</v>
      </c>
      <c r="T49" s="61">
        <f t="shared" si="48"/>
        <v>64.05</v>
      </c>
      <c r="U49" s="69">
        <f t="shared" si="49"/>
        <v>31.771253688761071</v>
      </c>
      <c r="V49" s="69"/>
      <c r="W49" s="61">
        <f>W53</f>
        <v>16.55</v>
      </c>
      <c r="X49" s="61"/>
      <c r="Y49" s="61">
        <f>COS(RADIANS(17))*((Q49-S49)/2 -8)</f>
        <v>53.600881571728131</v>
      </c>
      <c r="Z49" s="61" t="e">
        <f>Z53-M49</f>
        <v>#NUM!</v>
      </c>
      <c r="AA49" s="61" t="e">
        <f>SQRT(Z49*Z49+W49*W49)</f>
        <v>#NUM!</v>
      </c>
      <c r="AC49" s="4">
        <f t="shared" si="50"/>
        <v>31.771253688761071</v>
      </c>
      <c r="AD49" s="69">
        <f>AC49-AC53</f>
        <v>-29.357609148832502</v>
      </c>
      <c r="AE49" s="69">
        <f t="shared" si="51"/>
        <v>57.354241059244856</v>
      </c>
      <c r="AF49" s="64">
        <f>AE49-J53</f>
        <v>-34.148407978186654</v>
      </c>
      <c r="AG49" s="128">
        <f t="shared" si="39"/>
        <v>92</v>
      </c>
      <c r="AH49" s="128">
        <f t="shared" si="52"/>
        <v>-29.357609148832502</v>
      </c>
      <c r="AI49" s="128">
        <f t="shared" ref="AI49:AI58" si="62">N34</f>
        <v>-4.7907988293541557</v>
      </c>
      <c r="AJ49" s="128">
        <f t="shared" si="53"/>
        <v>-34.148407978186654</v>
      </c>
      <c r="AK49" s="128">
        <f t="shared" si="40"/>
        <v>8.6370739097347453</v>
      </c>
      <c r="AM49" s="134">
        <f t="shared" si="54"/>
        <v>4.5454545454545414E-2</v>
      </c>
      <c r="AN49" s="135">
        <f t="shared" si="55"/>
        <v>-0.48025773400741056</v>
      </c>
      <c r="AO49" s="135">
        <f t="shared" si="56"/>
        <v>-0.15772807505241859</v>
      </c>
      <c r="AP49" s="134">
        <f t="shared" si="57"/>
        <v>-0.3731958400922073</v>
      </c>
      <c r="AQ49" s="134">
        <f t="shared" si="58"/>
        <v>0.14395123182891223</v>
      </c>
    </row>
    <row r="50" spans="1:43" s="27" customFormat="1">
      <c r="B50" s="20">
        <f t="shared" si="59"/>
        <v>183</v>
      </c>
      <c r="C50" s="18">
        <f t="shared" si="42"/>
        <v>162.89629500000001</v>
      </c>
      <c r="D50" s="140">
        <f t="shared" si="60"/>
        <v>0</v>
      </c>
      <c r="E50" s="63">
        <f t="shared" si="60"/>
        <v>115</v>
      </c>
      <c r="F50" s="63">
        <f t="shared" si="60"/>
        <v>91</v>
      </c>
      <c r="G50" s="63">
        <f t="shared" si="44"/>
        <v>143</v>
      </c>
      <c r="I50" s="61">
        <f t="shared" si="45"/>
        <v>26.854458809635489</v>
      </c>
      <c r="J50" s="61"/>
      <c r="K50" s="63"/>
      <c r="L50" s="62">
        <f t="shared" si="46"/>
        <v>23.038012067016531</v>
      </c>
      <c r="M50" s="62">
        <f>L50-L53</f>
        <v>-2.7495818494387123</v>
      </c>
      <c r="N50" s="63"/>
      <c r="O50" s="63"/>
      <c r="P50" s="23">
        <f>P$53</f>
        <v>1</v>
      </c>
      <c r="Q50" s="20">
        <f t="shared" si="47"/>
        <v>183</v>
      </c>
      <c r="R50" s="23">
        <f>R53</f>
        <v>0.3</v>
      </c>
      <c r="S50" s="61">
        <f t="shared" si="61"/>
        <v>54.9</v>
      </c>
      <c r="T50" s="61">
        <f t="shared" si="48"/>
        <v>64.05</v>
      </c>
      <c r="U50" s="69">
        <f t="shared" si="49"/>
        <v>31.771253688761071</v>
      </c>
      <c r="V50" s="69"/>
      <c r="W50" s="61">
        <f>W53</f>
        <v>16.55</v>
      </c>
      <c r="X50" s="61"/>
      <c r="Y50" s="61">
        <f>COS(RADIANS(17))*((Q50-S50)/2 -8)</f>
        <v>53.600881571728131</v>
      </c>
      <c r="Z50" s="61" t="e">
        <f>Z53-M50</f>
        <v>#NUM!</v>
      </c>
      <c r="AA50" s="61" t="e">
        <f t="shared" ref="AA50:AA52" si="63">SQRT(Z50*Z50+W50*W50)</f>
        <v>#NUM!</v>
      </c>
      <c r="AC50" s="4">
        <f t="shared" si="50"/>
        <v>31.771253688761071</v>
      </c>
      <c r="AD50" s="69">
        <f>AC50-AC53</f>
        <v>-29.357609148832502</v>
      </c>
      <c r="AE50" s="69">
        <f t="shared" si="51"/>
        <v>58.62571249839656</v>
      </c>
      <c r="AF50" s="64">
        <f>AE50-J53</f>
        <v>-32.876936539034951</v>
      </c>
      <c r="AG50" s="128">
        <f t="shared" si="39"/>
        <v>91</v>
      </c>
      <c r="AH50" s="128">
        <f t="shared" si="52"/>
        <v>-29.357609148832502</v>
      </c>
      <c r="AI50" s="128">
        <f t="shared" si="62"/>
        <v>-3.5193273902024522</v>
      </c>
      <c r="AJ50" s="128">
        <f t="shared" si="53"/>
        <v>-32.876936539034951</v>
      </c>
      <c r="AK50" s="128">
        <f t="shared" si="40"/>
        <v>6.3078642428299929</v>
      </c>
      <c r="AM50" s="134">
        <f t="shared" si="54"/>
        <v>3.4090909090909172E-2</v>
      </c>
      <c r="AN50" s="135">
        <f t="shared" si="55"/>
        <v>-0.48025773400741056</v>
      </c>
      <c r="AO50" s="135">
        <f t="shared" si="56"/>
        <v>-0.11586726024367777</v>
      </c>
      <c r="AP50" s="134">
        <f t="shared" si="57"/>
        <v>-0.35930037965989159</v>
      </c>
      <c r="AQ50" s="134">
        <f t="shared" si="58"/>
        <v>0.10513107071383332</v>
      </c>
    </row>
    <row r="51" spans="1:43" s="27" customFormat="1">
      <c r="B51" s="20">
        <f t="shared" si="59"/>
        <v>183</v>
      </c>
      <c r="C51" s="18">
        <f t="shared" si="42"/>
        <v>162.89629500000001</v>
      </c>
      <c r="D51" s="140">
        <f t="shared" si="60"/>
        <v>0</v>
      </c>
      <c r="E51" s="63">
        <f t="shared" si="60"/>
        <v>115</v>
      </c>
      <c r="F51" s="63">
        <f t="shared" si="60"/>
        <v>90</v>
      </c>
      <c r="G51" s="63">
        <f t="shared" si="44"/>
        <v>144</v>
      </c>
      <c r="I51" s="61">
        <f t="shared" si="45"/>
        <v>28.072486935852954</v>
      </c>
      <c r="J51" s="61"/>
      <c r="K51" s="63"/>
      <c r="L51" s="62">
        <f t="shared" si="46"/>
        <v>23.999999999999993</v>
      </c>
      <c r="M51" s="62">
        <f>L51-L53</f>
        <v>-1.7875939164552506</v>
      </c>
      <c r="N51" s="63"/>
      <c r="O51" s="63"/>
      <c r="P51" s="23">
        <f>P$53</f>
        <v>1</v>
      </c>
      <c r="Q51" s="20">
        <f t="shared" si="47"/>
        <v>183</v>
      </c>
      <c r="R51" s="23">
        <f>R53</f>
        <v>0.3</v>
      </c>
      <c r="S51" s="61">
        <f t="shared" si="61"/>
        <v>54.9</v>
      </c>
      <c r="T51" s="61">
        <f t="shared" si="48"/>
        <v>64.05</v>
      </c>
      <c r="U51" s="69">
        <f t="shared" si="49"/>
        <v>31.771253688761071</v>
      </c>
      <c r="V51" s="69"/>
      <c r="W51" s="61">
        <f>W53</f>
        <v>16.55</v>
      </c>
      <c r="X51" s="61"/>
      <c r="Y51" s="61">
        <f>COS(RADIANS(17))*((Q51-S51)/2 -8)</f>
        <v>53.600881571728131</v>
      </c>
      <c r="Z51" s="61" t="e">
        <f>Z53-M51</f>
        <v>#NUM!</v>
      </c>
      <c r="AA51" s="61" t="e">
        <f t="shared" si="63"/>
        <v>#NUM!</v>
      </c>
      <c r="AC51" s="4">
        <f t="shared" si="50"/>
        <v>31.771253688761071</v>
      </c>
      <c r="AD51" s="69">
        <f>AC51-AC53</f>
        <v>-29.357609148832502</v>
      </c>
      <c r="AE51" s="69">
        <f t="shared" si="51"/>
        <v>59.843740624614028</v>
      </c>
      <c r="AF51" s="64">
        <f>AE51-J53</f>
        <v>-31.658908412817482</v>
      </c>
      <c r="AG51" s="128">
        <f t="shared" si="39"/>
        <v>90</v>
      </c>
      <c r="AH51" s="128">
        <f t="shared" si="52"/>
        <v>-29.357609148832502</v>
      </c>
      <c r="AI51" s="128">
        <f t="shared" si="62"/>
        <v>-2.301299263984987</v>
      </c>
      <c r="AJ51" s="128">
        <f t="shared" si="53"/>
        <v>-31.658908412817482</v>
      </c>
      <c r="AK51" s="128">
        <f t="shared" si="40"/>
        <v>4.1009507495149862</v>
      </c>
      <c r="AM51" s="134">
        <f t="shared" si="54"/>
        <v>2.2727272727272707E-2</v>
      </c>
      <c r="AN51" s="135">
        <f t="shared" si="55"/>
        <v>-0.48025773400741056</v>
      </c>
      <c r="AO51" s="135">
        <f t="shared" si="56"/>
        <v>-7.5765966377852045E-2</v>
      </c>
      <c r="AP51" s="134">
        <f t="shared" si="57"/>
        <v>-0.34598898224101238</v>
      </c>
      <c r="AQ51" s="134">
        <f t="shared" si="58"/>
        <v>6.8349179158583295E-2</v>
      </c>
    </row>
    <row r="52" spans="1:43" s="27" customFormat="1">
      <c r="B52" s="20">
        <f t="shared" si="59"/>
        <v>183</v>
      </c>
      <c r="C52" s="18">
        <f t="shared" si="42"/>
        <v>162.89629500000001</v>
      </c>
      <c r="D52" s="140">
        <f t="shared" si="60"/>
        <v>0</v>
      </c>
      <c r="E52" s="63">
        <f t="shared" si="60"/>
        <v>115</v>
      </c>
      <c r="F52" s="63">
        <f t="shared" si="60"/>
        <v>89</v>
      </c>
      <c r="G52" s="63">
        <f t="shared" si="44"/>
        <v>145</v>
      </c>
      <c r="I52" s="61">
        <f t="shared" si="45"/>
        <v>29.243783142151937</v>
      </c>
      <c r="J52" s="61"/>
      <c r="K52" s="63"/>
      <c r="L52" s="62">
        <f t="shared" si="46"/>
        <v>24.914855006601982</v>
      </c>
      <c r="M52" s="62">
        <f>L52-L53</f>
        <v>-0.87273890985326119</v>
      </c>
      <c r="N52" s="63"/>
      <c r="O52" s="63"/>
      <c r="P52" s="23">
        <f>P$53</f>
        <v>1</v>
      </c>
      <c r="Q52" s="20">
        <f t="shared" si="47"/>
        <v>183</v>
      </c>
      <c r="R52" s="23">
        <f>R53</f>
        <v>0.3</v>
      </c>
      <c r="S52" s="61">
        <f t="shared" si="61"/>
        <v>54.9</v>
      </c>
      <c r="T52" s="61">
        <f t="shared" si="48"/>
        <v>64.05</v>
      </c>
      <c r="U52" s="69">
        <f t="shared" si="49"/>
        <v>31.771253688761071</v>
      </c>
      <c r="V52" s="69"/>
      <c r="W52" s="61">
        <f>W53</f>
        <v>16.55</v>
      </c>
      <c r="X52" s="61"/>
      <c r="Y52" s="61">
        <f>COS(RADIANS(17))*((Q52-S52)/2 -8)</f>
        <v>53.600881571728131</v>
      </c>
      <c r="Z52" s="61" t="e">
        <f>Z53-M52</f>
        <v>#NUM!</v>
      </c>
      <c r="AA52" s="61" t="e">
        <f t="shared" si="63"/>
        <v>#NUM!</v>
      </c>
      <c r="AC52" s="4">
        <f t="shared" si="50"/>
        <v>31.771253688761071</v>
      </c>
      <c r="AD52" s="69">
        <f>AC52-AC53</f>
        <v>-29.357609148832502</v>
      </c>
      <c r="AE52" s="69">
        <f t="shared" si="51"/>
        <v>61.015036830913004</v>
      </c>
      <c r="AF52" s="64">
        <f>AE52-J53</f>
        <v>-30.487612206518506</v>
      </c>
      <c r="AG52" s="128">
        <f t="shared" si="39"/>
        <v>89</v>
      </c>
      <c r="AH52" s="128">
        <f t="shared" si="52"/>
        <v>-29.357609148832502</v>
      </c>
      <c r="AI52" s="128">
        <f t="shared" si="62"/>
        <v>-1.1300030576860038</v>
      </c>
      <c r="AJ52" s="128">
        <f t="shared" si="53"/>
        <v>-30.487612206518506</v>
      </c>
      <c r="AK52" s="128">
        <f t="shared" si="40"/>
        <v>2.0021657343692567</v>
      </c>
      <c r="AM52" s="134">
        <f t="shared" si="54"/>
        <v>1.1363636363636465E-2</v>
      </c>
      <c r="AN52" s="135">
        <f t="shared" si="55"/>
        <v>-0.48025773400741056</v>
      </c>
      <c r="AO52" s="135">
        <f t="shared" si="56"/>
        <v>-3.7203233414872527E-2</v>
      </c>
      <c r="AP52" s="134">
        <f t="shared" si="57"/>
        <v>-0.33318830140149014</v>
      </c>
      <c r="AQ52" s="134">
        <f t="shared" si="58"/>
        <v>3.3369428906154353E-2</v>
      </c>
    </row>
    <row r="53" spans="1:43" s="15" customFormat="1">
      <c r="B53" s="38">
        <f t="shared" si="59"/>
        <v>183</v>
      </c>
      <c r="C53" s="37">
        <f>100*(0.297865*B53/100+1.08387)</f>
        <v>162.89629500000001</v>
      </c>
      <c r="D53" s="159">
        <f t="shared" si="60"/>
        <v>0</v>
      </c>
      <c r="E53" s="40">
        <f t="shared" si="60"/>
        <v>115</v>
      </c>
      <c r="F53" s="40">
        <f t="shared" si="60"/>
        <v>88</v>
      </c>
      <c r="G53" s="40">
        <f>(E53+2)*2 -F53</f>
        <v>146</v>
      </c>
      <c r="I53" s="39">
        <f t="shared" si="45"/>
        <v>30.373786199837941</v>
      </c>
      <c r="J53" s="52">
        <f>J38</f>
        <v>91.50264903743151</v>
      </c>
      <c r="K53" s="39">
        <f>J53-I53</f>
        <v>61.128862837593573</v>
      </c>
      <c r="L53" s="41">
        <f t="shared" si="46"/>
        <v>25.787593916455243</v>
      </c>
      <c r="M53" s="41">
        <f>L53-L53</f>
        <v>0</v>
      </c>
      <c r="N53" s="39">
        <f>(E53+2)*SIN(RADIANS(K53))</f>
        <v>102.45782080834047</v>
      </c>
      <c r="O53" s="39">
        <f>(F53/2)- (E53+2)*COS(RADIANS(K53))</f>
        <v>-12.492432725153485</v>
      </c>
      <c r="P53" s="42">
        <v>1</v>
      </c>
      <c r="Q53" s="43">
        <f t="shared" si="47"/>
        <v>183</v>
      </c>
      <c r="R53" s="42">
        <v>0.3</v>
      </c>
      <c r="S53" s="39">
        <f>Q53*R53</f>
        <v>54.9</v>
      </c>
      <c r="T53" s="39">
        <f>Q53*(1-R53)/2</f>
        <v>64.05</v>
      </c>
      <c r="U53" s="70">
        <f>2*DEGREES(ASIN(T53/2/(E53+2)))</f>
        <v>31.771253688761071</v>
      </c>
      <c r="V53" s="70">
        <f>K53-U53</f>
        <v>29.357609148832502</v>
      </c>
      <c r="W53" s="39">
        <f>F53/2 -S53/2</f>
        <v>16.55</v>
      </c>
      <c r="X53" s="39">
        <f>O53-T53</f>
        <v>-76.542432725153475</v>
      </c>
      <c r="Y53" s="39">
        <f>COS(RADIANS(17))*((Q53-S53)/2-8)</f>
        <v>53.600881571728131</v>
      </c>
      <c r="Z53" s="40" t="e">
        <f xml:space="preserve"> N53- SQRT(Y53*Y53-X53*X53)</f>
        <v>#NUM!</v>
      </c>
      <c r="AA53" s="39" t="e">
        <f>SQRT(Z53*Z53+W53*W53)</f>
        <v>#NUM!</v>
      </c>
      <c r="AC53" s="52">
        <f t="shared" si="50"/>
        <v>61.128862837593573</v>
      </c>
      <c r="AD53" s="70">
        <f>AC53-AC53</f>
        <v>0</v>
      </c>
      <c r="AE53" s="70">
        <f t="shared" si="51"/>
        <v>91.50264903743151</v>
      </c>
      <c r="AF53" s="71">
        <f>AE53-J53</f>
        <v>0</v>
      </c>
      <c r="AG53" s="148">
        <f t="shared" si="39"/>
        <v>88</v>
      </c>
      <c r="AH53" s="148">
        <f t="shared" si="52"/>
        <v>0</v>
      </c>
      <c r="AI53" s="148">
        <f t="shared" si="62"/>
        <v>0</v>
      </c>
      <c r="AJ53" s="148">
        <f t="shared" si="53"/>
        <v>0</v>
      </c>
      <c r="AK53" s="148">
        <f t="shared" si="40"/>
        <v>0</v>
      </c>
      <c r="AM53" s="150">
        <f t="shared" si="54"/>
        <v>0</v>
      </c>
      <c r="AN53" s="151">
        <f t="shared" si="55"/>
        <v>0</v>
      </c>
      <c r="AO53" s="151">
        <f t="shared" si="56"/>
        <v>0</v>
      </c>
      <c r="AP53" s="150">
        <f t="shared" si="57"/>
        <v>0</v>
      </c>
      <c r="AQ53" s="150">
        <f t="shared" si="58"/>
        <v>0</v>
      </c>
    </row>
    <row r="54" spans="1:43" s="59" customFormat="1">
      <c r="B54" s="20">
        <f t="shared" si="59"/>
        <v>183</v>
      </c>
      <c r="C54" s="18">
        <f t="shared" ref="C54:C58" si="64">100*(0.297865*B54/100+1.08387)</f>
        <v>162.89629500000001</v>
      </c>
      <c r="D54" s="140">
        <f t="shared" si="60"/>
        <v>0</v>
      </c>
      <c r="E54" s="63">
        <f t="shared" si="60"/>
        <v>115</v>
      </c>
      <c r="F54" s="63">
        <f t="shared" si="60"/>
        <v>87</v>
      </c>
      <c r="G54" s="63">
        <f t="shared" ref="G54:G58" si="65">(E54+2)*2 -F54</f>
        <v>147</v>
      </c>
      <c r="I54" s="61">
        <f t="shared" si="45"/>
        <v>31.466976293267564</v>
      </c>
      <c r="J54" s="61"/>
      <c r="K54" s="63"/>
      <c r="L54" s="62">
        <f t="shared" si="46"/>
        <v>26.622359023948274</v>
      </c>
      <c r="M54" s="62">
        <f>L54-L53</f>
        <v>0.83476510749303046</v>
      </c>
      <c r="N54" s="63"/>
      <c r="O54" s="63"/>
      <c r="P54" s="23">
        <f>P$53</f>
        <v>1</v>
      </c>
      <c r="Q54" s="20">
        <f t="shared" si="47"/>
        <v>183</v>
      </c>
      <c r="R54" s="23">
        <f>R53</f>
        <v>0.3</v>
      </c>
      <c r="S54" s="61">
        <f>Q54*R54</f>
        <v>54.9</v>
      </c>
      <c r="T54" s="61">
        <f t="shared" ref="T54:T58" si="66">Q54*(1-R54)/2</f>
        <v>64.05</v>
      </c>
      <c r="U54" s="69">
        <f t="shared" ref="U54:U58" si="67">2*DEGREES(ASIN(T54/2/(E54+2)))</f>
        <v>31.771253688761071</v>
      </c>
      <c r="V54" s="69" t="e">
        <f>DEGREES(ASIN(Z54/AA54))</f>
        <v>#NUM!</v>
      </c>
      <c r="W54" s="61">
        <f>W53</f>
        <v>16.55</v>
      </c>
      <c r="X54" s="61"/>
      <c r="Y54" s="61">
        <f>COS(RADIANS(17))*((Q54-S54)/2 -8)</f>
        <v>53.600881571728131</v>
      </c>
      <c r="Z54" s="61" t="e">
        <f>Z53-M54</f>
        <v>#NUM!</v>
      </c>
      <c r="AA54" s="61" t="e">
        <f>SQRT(Z54*Z54+W54*W54)</f>
        <v>#NUM!</v>
      </c>
      <c r="AC54" s="4" t="e">
        <f t="shared" si="50"/>
        <v>#NUM!</v>
      </c>
      <c r="AD54" s="69" t="e">
        <f>AC54-AC53</f>
        <v>#NUM!</v>
      </c>
      <c r="AE54" s="69" t="e">
        <f t="shared" si="51"/>
        <v>#NUM!</v>
      </c>
      <c r="AF54" s="64" t="e">
        <f>AE54-J53</f>
        <v>#NUM!</v>
      </c>
      <c r="AG54" s="128">
        <f t="shared" si="39"/>
        <v>87</v>
      </c>
      <c r="AH54" s="128" t="e">
        <f t="shared" si="52"/>
        <v>#NUM!</v>
      </c>
      <c r="AI54" s="128">
        <f t="shared" si="62"/>
        <v>1.093190093429623</v>
      </c>
      <c r="AJ54" s="128" t="e">
        <f t="shared" si="53"/>
        <v>#NUM!</v>
      </c>
      <c r="AK54" s="128">
        <f t="shared" si="40"/>
        <v>-1.9150493642487092</v>
      </c>
      <c r="AM54" s="134">
        <f t="shared" si="54"/>
        <v>-1.1363636363636354E-2</v>
      </c>
      <c r="AN54" s="135" t="e">
        <f t="shared" si="55"/>
        <v>#NUM!</v>
      </c>
      <c r="AO54" s="135">
        <f t="shared" si="56"/>
        <v>3.5991235542293332E-2</v>
      </c>
      <c r="AP54" s="134" t="e">
        <f t="shared" si="57"/>
        <v>#NUM!</v>
      </c>
      <c r="AQ54" s="134">
        <f t="shared" si="58"/>
        <v>-3.1917489404145183E-2</v>
      </c>
    </row>
    <row r="55" spans="1:43" s="59" customFormat="1">
      <c r="B55" s="20">
        <f t="shared" si="59"/>
        <v>183</v>
      </c>
      <c r="C55" s="18">
        <f t="shared" si="64"/>
        <v>162.89629500000001</v>
      </c>
      <c r="D55" s="140">
        <f t="shared" si="60"/>
        <v>0</v>
      </c>
      <c r="E55" s="63">
        <f t="shared" si="60"/>
        <v>115</v>
      </c>
      <c r="F55" s="63">
        <f t="shared" si="60"/>
        <v>86</v>
      </c>
      <c r="G55" s="63">
        <f t="shared" si="65"/>
        <v>148</v>
      </c>
      <c r="I55" s="61">
        <f t="shared" si="45"/>
        <v>32.527095987158376</v>
      </c>
      <c r="J55" s="61"/>
      <c r="K55" s="63"/>
      <c r="L55" s="62">
        <f t="shared" si="46"/>
        <v>27.422618401604176</v>
      </c>
      <c r="M55" s="62">
        <f>L55-L53</f>
        <v>1.6350244851489322</v>
      </c>
      <c r="N55" s="63"/>
      <c r="O55" s="63"/>
      <c r="P55" s="23">
        <f>P$53</f>
        <v>1</v>
      </c>
      <c r="Q55" s="20">
        <f t="shared" si="47"/>
        <v>183</v>
      </c>
      <c r="R55" s="23">
        <f>R53</f>
        <v>0.3</v>
      </c>
      <c r="S55" s="61">
        <f t="shared" ref="S55:S58" si="68">Q55*R55</f>
        <v>54.9</v>
      </c>
      <c r="T55" s="61">
        <f t="shared" si="66"/>
        <v>64.05</v>
      </c>
      <c r="U55" s="69">
        <f t="shared" si="67"/>
        <v>31.771253688761071</v>
      </c>
      <c r="V55" s="69" t="e">
        <f>DEGREES(ASIN(Z55/AA55))</f>
        <v>#NUM!</v>
      </c>
      <c r="W55" s="61">
        <f>W53</f>
        <v>16.55</v>
      </c>
      <c r="X55" s="61"/>
      <c r="Y55" s="61">
        <f>COS(RADIANS(17))*((Q55-S55)/2 -8)</f>
        <v>53.600881571728131</v>
      </c>
      <c r="Z55" s="61" t="e">
        <f>Z53-M55</f>
        <v>#NUM!</v>
      </c>
      <c r="AA55" s="61" t="e">
        <f>SQRT(Z55*Z55+W55*W55)</f>
        <v>#NUM!</v>
      </c>
      <c r="AC55" s="4" t="e">
        <f t="shared" si="50"/>
        <v>#NUM!</v>
      </c>
      <c r="AD55" s="69" t="e">
        <f>AC55-AC53</f>
        <v>#NUM!</v>
      </c>
      <c r="AE55" s="69" t="e">
        <f t="shared" si="51"/>
        <v>#NUM!</v>
      </c>
      <c r="AF55" s="64" t="e">
        <f>AE55-J53</f>
        <v>#NUM!</v>
      </c>
      <c r="AG55" s="128">
        <f t="shared" si="39"/>
        <v>86</v>
      </c>
      <c r="AH55" s="128" t="e">
        <f t="shared" si="52"/>
        <v>#NUM!</v>
      </c>
      <c r="AI55" s="128">
        <f t="shared" si="62"/>
        <v>2.1533097873204348</v>
      </c>
      <c r="AJ55" s="128" t="e">
        <f t="shared" si="53"/>
        <v>#NUM!</v>
      </c>
      <c r="AK55" s="128">
        <f t="shared" si="40"/>
        <v>-3.7509385247534226</v>
      </c>
      <c r="AM55" s="134">
        <f t="shared" si="54"/>
        <v>-2.2727272727272707E-2</v>
      </c>
      <c r="AN55" s="135" t="e">
        <f t="shared" si="55"/>
        <v>#NUM!</v>
      </c>
      <c r="AO55" s="135">
        <f t="shared" si="56"/>
        <v>7.089369014297997E-2</v>
      </c>
      <c r="AP55" s="134" t="e">
        <f t="shared" si="57"/>
        <v>#NUM!</v>
      </c>
      <c r="AQ55" s="134">
        <f t="shared" si="58"/>
        <v>-6.2515642079223666E-2</v>
      </c>
    </row>
    <row r="56" spans="1:43" s="59" customFormat="1">
      <c r="B56" s="20">
        <f t="shared" si="59"/>
        <v>183</v>
      </c>
      <c r="C56" s="18">
        <f t="shared" si="64"/>
        <v>162.89629500000001</v>
      </c>
      <c r="D56" s="140">
        <f t="shared" si="60"/>
        <v>0</v>
      </c>
      <c r="E56" s="63">
        <f t="shared" si="60"/>
        <v>115</v>
      </c>
      <c r="F56" s="63">
        <f t="shared" si="60"/>
        <v>85</v>
      </c>
      <c r="G56" s="63">
        <f t="shared" si="65"/>
        <v>149</v>
      </c>
      <c r="I56" s="61">
        <f t="shared" si="45"/>
        <v>33.557309761920713</v>
      </c>
      <c r="J56" s="61"/>
      <c r="K56" s="63"/>
      <c r="L56" s="62">
        <f t="shared" si="46"/>
        <v>28.191310718020897</v>
      </c>
      <c r="M56" s="62">
        <f>L56-L53</f>
        <v>2.403716801565654</v>
      </c>
      <c r="N56" s="63"/>
      <c r="O56" s="63"/>
      <c r="P56" s="23">
        <f>P$53</f>
        <v>1</v>
      </c>
      <c r="Q56" s="20">
        <f t="shared" si="47"/>
        <v>183</v>
      </c>
      <c r="R56" s="23">
        <f>R53</f>
        <v>0.3</v>
      </c>
      <c r="S56" s="61">
        <f t="shared" si="68"/>
        <v>54.9</v>
      </c>
      <c r="T56" s="61">
        <f t="shared" si="66"/>
        <v>64.05</v>
      </c>
      <c r="U56" s="69">
        <f t="shared" si="67"/>
        <v>31.771253688761071</v>
      </c>
      <c r="V56" s="69" t="e">
        <f>DEGREES(ASIN(Z56/AA56))</f>
        <v>#NUM!</v>
      </c>
      <c r="W56" s="61">
        <f>W53</f>
        <v>16.55</v>
      </c>
      <c r="X56" s="61"/>
      <c r="Y56" s="61">
        <f>COS(RADIANS(17))*((Q56-S56)/2 -8)</f>
        <v>53.600881571728131</v>
      </c>
      <c r="Z56" s="61" t="e">
        <f>Z53-M56</f>
        <v>#NUM!</v>
      </c>
      <c r="AA56" s="61" t="e">
        <f t="shared" ref="AA56:AA58" si="69">SQRT(Z56*Z56+W56*W56)</f>
        <v>#NUM!</v>
      </c>
      <c r="AC56" s="4" t="e">
        <f t="shared" si="50"/>
        <v>#NUM!</v>
      </c>
      <c r="AD56" s="69" t="e">
        <f>AC56-AC53</f>
        <v>#NUM!</v>
      </c>
      <c r="AE56" s="69" t="e">
        <f t="shared" si="51"/>
        <v>#NUM!</v>
      </c>
      <c r="AF56" s="64" t="e">
        <f>AE56-J53</f>
        <v>#NUM!</v>
      </c>
      <c r="AG56" s="128">
        <f t="shared" si="39"/>
        <v>85</v>
      </c>
      <c r="AH56" s="128" t="e">
        <f t="shared" si="52"/>
        <v>#NUM!</v>
      </c>
      <c r="AI56" s="128">
        <f t="shared" si="62"/>
        <v>3.1835235620827724</v>
      </c>
      <c r="AJ56" s="128" t="e">
        <f t="shared" si="53"/>
        <v>#NUM!</v>
      </c>
      <c r="AK56" s="128">
        <f t="shared" si="40"/>
        <v>-5.5144091330035394</v>
      </c>
      <c r="AM56" s="134">
        <f t="shared" si="54"/>
        <v>-3.4090909090909061E-2</v>
      </c>
      <c r="AN56" s="135" t="e">
        <f t="shared" si="55"/>
        <v>#NUM!</v>
      </c>
      <c r="AO56" s="135">
        <f t="shared" si="56"/>
        <v>0.10481154839036022</v>
      </c>
      <c r="AP56" s="134" t="e">
        <f t="shared" si="57"/>
        <v>#NUM!</v>
      </c>
      <c r="AQ56" s="134">
        <f t="shared" si="58"/>
        <v>-9.190681888339236E-2</v>
      </c>
    </row>
    <row r="57" spans="1:43" s="59" customFormat="1">
      <c r="B57" s="20">
        <f t="shared" si="59"/>
        <v>183</v>
      </c>
      <c r="C57" s="18">
        <f t="shared" si="64"/>
        <v>162.89629500000001</v>
      </c>
      <c r="D57" s="140">
        <f t="shared" si="60"/>
        <v>0</v>
      </c>
      <c r="E57" s="63">
        <f t="shared" si="60"/>
        <v>115</v>
      </c>
      <c r="F57" s="63">
        <f t="shared" si="60"/>
        <v>84</v>
      </c>
      <c r="G57" s="63">
        <f t="shared" si="65"/>
        <v>150</v>
      </c>
      <c r="I57" s="61">
        <f t="shared" si="45"/>
        <v>34.560321779997842</v>
      </c>
      <c r="J57" s="61"/>
      <c r="K57" s="63"/>
      <c r="L57" s="62">
        <f t="shared" si="46"/>
        <v>28.930952282978865</v>
      </c>
      <c r="M57" s="62">
        <f>L57-L53</f>
        <v>3.1433583665236213</v>
      </c>
      <c r="N57" s="63"/>
      <c r="O57" s="63"/>
      <c r="P57" s="23">
        <f>P$53</f>
        <v>1</v>
      </c>
      <c r="Q57" s="20">
        <f t="shared" si="47"/>
        <v>183</v>
      </c>
      <c r="R57" s="23">
        <f>R53</f>
        <v>0.3</v>
      </c>
      <c r="S57" s="61">
        <f t="shared" si="68"/>
        <v>54.9</v>
      </c>
      <c r="T57" s="61">
        <f t="shared" si="66"/>
        <v>64.05</v>
      </c>
      <c r="U57" s="69">
        <f t="shared" si="67"/>
        <v>31.771253688761071</v>
      </c>
      <c r="V57" s="69" t="e">
        <f>DEGREES(ASIN(Z57/AA57))</f>
        <v>#NUM!</v>
      </c>
      <c r="W57" s="61">
        <f>W53</f>
        <v>16.55</v>
      </c>
      <c r="X57" s="61"/>
      <c r="Y57" s="61">
        <f>COS(RADIANS(17))*((Q57-S57)/2 -8)</f>
        <v>53.600881571728131</v>
      </c>
      <c r="Z57" s="61" t="e">
        <f>Z53-M57</f>
        <v>#NUM!</v>
      </c>
      <c r="AA57" s="61" t="e">
        <f t="shared" si="69"/>
        <v>#NUM!</v>
      </c>
      <c r="AC57" s="4" t="e">
        <f t="shared" si="50"/>
        <v>#NUM!</v>
      </c>
      <c r="AD57" s="69" t="e">
        <f>AC57-AC53</f>
        <v>#NUM!</v>
      </c>
      <c r="AE57" s="69" t="e">
        <f t="shared" si="51"/>
        <v>#NUM!</v>
      </c>
      <c r="AF57" s="64" t="e">
        <f>AE57-J53</f>
        <v>#NUM!</v>
      </c>
      <c r="AG57" s="128">
        <f t="shared" si="39"/>
        <v>84</v>
      </c>
      <c r="AH57" s="128" t="e">
        <f t="shared" si="52"/>
        <v>#NUM!</v>
      </c>
      <c r="AI57" s="128">
        <f t="shared" si="62"/>
        <v>4.1865355801599016</v>
      </c>
      <c r="AJ57" s="128" t="e">
        <f t="shared" si="53"/>
        <v>#NUM!</v>
      </c>
      <c r="AK57" s="128">
        <f t="shared" si="40"/>
        <v>-7.211233899671825</v>
      </c>
      <c r="AM57" s="134">
        <f t="shared" si="54"/>
        <v>-4.5454545454545414E-2</v>
      </c>
      <c r="AN57" s="135" t="e">
        <f t="shared" si="55"/>
        <v>#NUM!</v>
      </c>
      <c r="AO57" s="135">
        <f t="shared" si="56"/>
        <v>0.13783383976615471</v>
      </c>
      <c r="AP57" s="134" t="e">
        <f t="shared" si="57"/>
        <v>#NUM!</v>
      </c>
      <c r="AQ57" s="134">
        <f t="shared" si="58"/>
        <v>-0.12018723166119705</v>
      </c>
    </row>
    <row r="58" spans="1:43" s="59" customFormat="1">
      <c r="B58" s="20">
        <f t="shared" si="59"/>
        <v>183</v>
      </c>
      <c r="C58" s="91">
        <f t="shared" si="64"/>
        <v>162.89629500000001</v>
      </c>
      <c r="D58" s="140">
        <f t="shared" si="60"/>
        <v>0</v>
      </c>
      <c r="E58" s="63">
        <f t="shared" si="60"/>
        <v>115</v>
      </c>
      <c r="F58" s="63">
        <f t="shared" si="60"/>
        <v>83</v>
      </c>
      <c r="G58" s="94">
        <f t="shared" si="65"/>
        <v>151</v>
      </c>
      <c r="I58" s="61">
        <f t="shared" si="45"/>
        <v>35.538464515621705</v>
      </c>
      <c r="J58" s="92"/>
      <c r="K58" s="94"/>
      <c r="L58" s="95">
        <f t="shared" si="46"/>
        <v>29.64371771556327</v>
      </c>
      <c r="M58" s="95">
        <f>L58-L53</f>
        <v>3.8561237991080262</v>
      </c>
      <c r="N58" s="94"/>
      <c r="O58" s="94"/>
      <c r="P58" s="96">
        <f>P$53</f>
        <v>1</v>
      </c>
      <c r="Q58" s="90">
        <f t="shared" si="47"/>
        <v>183</v>
      </c>
      <c r="R58" s="96">
        <f>R53</f>
        <v>0.3</v>
      </c>
      <c r="S58" s="92">
        <f t="shared" si="68"/>
        <v>54.9</v>
      </c>
      <c r="T58" s="61">
        <f t="shared" si="66"/>
        <v>64.05</v>
      </c>
      <c r="U58" s="69">
        <f t="shared" si="67"/>
        <v>31.771253688761071</v>
      </c>
      <c r="V58" s="93" t="e">
        <f>DEGREES(ASIN(Z58/AA58))</f>
        <v>#NUM!</v>
      </c>
      <c r="W58" s="92">
        <f>W53</f>
        <v>16.55</v>
      </c>
      <c r="X58" s="92"/>
      <c r="Y58" s="92">
        <f>COS(RADIANS(17))*((Q58-S58)/2 -8)</f>
        <v>53.600881571728131</v>
      </c>
      <c r="Z58" s="92" t="e">
        <f>Z53-M58</f>
        <v>#NUM!</v>
      </c>
      <c r="AA58" s="92" t="e">
        <f t="shared" si="69"/>
        <v>#NUM!</v>
      </c>
      <c r="AC58" s="97" t="e">
        <f t="shared" si="50"/>
        <v>#NUM!</v>
      </c>
      <c r="AD58" s="93" t="e">
        <f>AC58-AC53</f>
        <v>#NUM!</v>
      </c>
      <c r="AE58" s="93" t="e">
        <f t="shared" si="51"/>
        <v>#NUM!</v>
      </c>
      <c r="AF58" s="98" t="e">
        <f>AE58-J53</f>
        <v>#NUM!</v>
      </c>
      <c r="AG58" s="128">
        <f t="shared" si="39"/>
        <v>83</v>
      </c>
      <c r="AH58" s="128" t="e">
        <f t="shared" si="52"/>
        <v>#NUM!</v>
      </c>
      <c r="AI58" s="128">
        <f t="shared" si="62"/>
        <v>5.1646783157837639</v>
      </c>
      <c r="AJ58" s="128" t="e">
        <f t="shared" si="53"/>
        <v>#NUM!</v>
      </c>
      <c r="AK58" s="128">
        <f t="shared" si="40"/>
        <v>-8.8464016567772319</v>
      </c>
      <c r="AM58" s="134">
        <f t="shared" si="54"/>
        <v>-5.6818181818181768E-2</v>
      </c>
      <c r="AN58" s="135" t="e">
        <f t="shared" si="55"/>
        <v>#NUM!</v>
      </c>
      <c r="AO58" s="135">
        <f t="shared" si="56"/>
        <v>0.17003735661414909</v>
      </c>
      <c r="AP58" s="134" t="e">
        <f t="shared" si="57"/>
        <v>#NUM!</v>
      </c>
      <c r="AQ58" s="134">
        <f t="shared" si="58"/>
        <v>-0.14744002761295383</v>
      </c>
    </row>
    <row r="59" spans="1:43" s="87" customFormat="1" ht="28.5" customHeight="1" thickBot="1">
      <c r="C59" s="99" t="s">
        <v>24</v>
      </c>
      <c r="D59" s="99"/>
      <c r="E59" s="99"/>
      <c r="G59" s="100"/>
      <c r="I59" s="100"/>
      <c r="L59" s="100"/>
      <c r="N59" s="100"/>
      <c r="O59" s="100"/>
      <c r="P59" s="100"/>
      <c r="Q59" s="101"/>
      <c r="R59" s="100"/>
      <c r="S59" s="100"/>
      <c r="T59" s="100"/>
      <c r="U59" s="100"/>
      <c r="V59" s="100"/>
      <c r="W59" s="100"/>
    </row>
    <row r="60" spans="1:43" s="59" customFormat="1" ht="16.5" customHeight="1">
      <c r="A60" s="12"/>
      <c r="B60" s="5"/>
      <c r="C60" s="19"/>
      <c r="D60" s="19"/>
      <c r="E60" s="19"/>
      <c r="F60" s="5"/>
      <c r="G60" s="13"/>
      <c r="H60" s="13"/>
      <c r="I60" s="13"/>
      <c r="J60" s="12"/>
      <c r="K60" s="13"/>
      <c r="L60" s="12"/>
      <c r="M60" s="13"/>
      <c r="N60" s="13"/>
      <c r="O60" s="13"/>
      <c r="P60" s="14"/>
      <c r="Q60" s="13"/>
      <c r="R60" s="13"/>
      <c r="S60" s="13"/>
      <c r="T60" s="13"/>
      <c r="U60" s="13"/>
      <c r="V60" s="13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7"/>
      <c r="AH60" s="126"/>
      <c r="AI60" s="126"/>
      <c r="AJ60" s="126"/>
      <c r="AK60" s="127"/>
      <c r="AL60" s="12"/>
      <c r="AM60" s="12"/>
      <c r="AN60" s="12"/>
      <c r="AO60" s="12"/>
      <c r="AP60" s="12"/>
      <c r="AQ60" s="12"/>
    </row>
    <row r="61" spans="1:43" s="59" customFormat="1" ht="16.5" customHeight="1">
      <c r="A61" s="12"/>
      <c r="B61" s="5"/>
      <c r="C61" s="19"/>
      <c r="D61" s="19"/>
      <c r="E61" s="19"/>
      <c r="F61" s="5"/>
      <c r="G61" s="13"/>
      <c r="H61" s="13"/>
      <c r="I61" s="13"/>
      <c r="J61" s="12"/>
      <c r="K61" s="13"/>
      <c r="L61" s="12"/>
      <c r="M61" s="13"/>
      <c r="N61" s="13"/>
      <c r="O61" s="13"/>
      <c r="P61" s="14"/>
      <c r="Q61" s="13"/>
      <c r="R61" s="13"/>
      <c r="S61" s="13"/>
      <c r="T61" s="13"/>
      <c r="U61" s="13"/>
      <c r="V61" s="13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7"/>
      <c r="AH61" s="126"/>
      <c r="AI61" s="126"/>
      <c r="AJ61" s="126"/>
      <c r="AK61" s="127"/>
      <c r="AL61" s="12"/>
      <c r="AM61" s="12"/>
      <c r="AN61" s="12"/>
      <c r="AO61" s="12"/>
      <c r="AP61" s="12"/>
      <c r="AQ61" s="12"/>
    </row>
    <row r="62" spans="1:43">
      <c r="A62" s="15" t="s">
        <v>128</v>
      </c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 t="s">
        <v>15</v>
      </c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 t="s">
        <v>110</v>
      </c>
      <c r="AH62" s="59"/>
      <c r="AI62" s="59"/>
      <c r="AJ62" s="59"/>
      <c r="AK62" s="59"/>
      <c r="AL62" s="59"/>
      <c r="AM62" s="59"/>
      <c r="AN62" s="59"/>
      <c r="AO62" s="59"/>
      <c r="AP62" s="59"/>
      <c r="AQ62" s="59"/>
    </row>
    <row r="63" spans="1:43" s="59" customFormat="1">
      <c r="A63" s="60" t="s">
        <v>107</v>
      </c>
      <c r="B63" s="2"/>
      <c r="C63" s="2"/>
      <c r="D63" s="20"/>
      <c r="E63" s="60">
        <v>0</v>
      </c>
      <c r="F63" s="60">
        <v>1</v>
      </c>
      <c r="G63" s="60">
        <v>0</v>
      </c>
      <c r="P63" s="2" t="s">
        <v>52</v>
      </c>
      <c r="Q63" s="2"/>
      <c r="R63" s="2"/>
      <c r="S63" s="138"/>
      <c r="T63" s="138"/>
      <c r="AM63" s="59" t="s">
        <v>111</v>
      </c>
    </row>
    <row r="64" spans="1:43" s="59" customFormat="1" ht="135">
      <c r="A64" s="27"/>
      <c r="B64" s="48" t="s">
        <v>12</v>
      </c>
      <c r="C64" s="48" t="s">
        <v>8</v>
      </c>
      <c r="D64" s="125"/>
      <c r="E64" s="48" t="s">
        <v>3</v>
      </c>
      <c r="F64" s="48" t="s">
        <v>17</v>
      </c>
      <c r="G64" s="46" t="s">
        <v>127</v>
      </c>
      <c r="I64" s="66" t="s">
        <v>1</v>
      </c>
      <c r="J64" s="66" t="s">
        <v>6</v>
      </c>
      <c r="K64" s="66" t="s">
        <v>5</v>
      </c>
      <c r="L64" s="27"/>
      <c r="M64" s="66" t="s">
        <v>21</v>
      </c>
      <c r="N64" s="66" t="s">
        <v>20</v>
      </c>
      <c r="O64" s="66" t="s">
        <v>91</v>
      </c>
      <c r="Q64" s="46" t="s">
        <v>112</v>
      </c>
      <c r="R64" s="28" t="s">
        <v>18</v>
      </c>
      <c r="S64" s="28" t="s">
        <v>19</v>
      </c>
      <c r="T64" s="73" t="s">
        <v>83</v>
      </c>
      <c r="U64" s="27"/>
      <c r="V64" s="28" t="s">
        <v>129</v>
      </c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8" t="str">
        <f>F64</f>
        <v>spread (cm)</v>
      </c>
      <c r="AH64" s="28" t="s">
        <v>113</v>
      </c>
      <c r="AI64" s="28" t="s">
        <v>114</v>
      </c>
      <c r="AJ64" s="28" t="s">
        <v>115</v>
      </c>
      <c r="AK64" s="28" t="str">
        <f>Q64</f>
        <v>distance to move stretcher to stern (cm)</v>
      </c>
      <c r="AL64" s="27"/>
      <c r="AM64" s="28" t="str">
        <f>AG64</f>
        <v>spread (cm)</v>
      </c>
      <c r="AN64" s="28" t="str">
        <f t="shared" ref="AN64" si="70">AH64</f>
        <v>Change in catch angle (deg)</v>
      </c>
      <c r="AO64" s="28" t="str">
        <f t="shared" ref="AO64" si="71">AI64</f>
        <v>Change in finish angle (deg)</v>
      </c>
      <c r="AP64" s="28" t="str">
        <f t="shared" ref="AP64" si="72">AJ64</f>
        <v>Change in sweep angle (deg)</v>
      </c>
      <c r="AQ64" s="28" t="str">
        <f t="shared" ref="AQ64" si="73">AK64</f>
        <v>distance to move stretcher to stern (cm)</v>
      </c>
    </row>
    <row r="65" spans="1:43" s="59" customFormat="1">
      <c r="A65" s="27"/>
      <c r="B65" s="20">
        <f t="shared" ref="B65:B69" si="74">B$38</f>
        <v>183</v>
      </c>
      <c r="C65" s="18">
        <f t="shared" ref="C65:C69" si="75">100*(0.297865*B65/100+1.08387)</f>
        <v>162.89629500000001</v>
      </c>
      <c r="D65" s="63"/>
      <c r="E65" s="63">
        <f t="shared" ref="E65" si="76">5*E63+E70</f>
        <v>115</v>
      </c>
      <c r="F65" s="63">
        <f>5*F63+F70</f>
        <v>93</v>
      </c>
      <c r="G65" s="63">
        <f>5*G63+G70</f>
        <v>59.159774278926747</v>
      </c>
      <c r="I65" s="44">
        <f t="shared" ref="I65:I69" si="77">DEGREES(ACOS((F65+D65/2)/(E65+2-15)))</f>
        <v>24.249628602505194</v>
      </c>
      <c r="J65" s="44">
        <f t="shared" ref="J65:J69" si="78">DEGREES(C65/(E65-15+2))</f>
        <v>91.50264903743151</v>
      </c>
      <c r="K65" s="9">
        <f t="shared" ref="K65:K69" si="79">J65-I65</f>
        <v>67.253020434926313</v>
      </c>
      <c r="L65" s="27"/>
      <c r="M65" s="69">
        <f t="shared" ref="M65:M75" si="80">K65-K$38</f>
        <v>6.12415759733274</v>
      </c>
      <c r="N65" s="69">
        <f t="shared" ref="N65:N75" si="81">I65-I$38</f>
        <v>-6.1241575973327471</v>
      </c>
      <c r="O65" s="9">
        <f t="shared" ref="O65:O69" si="82">J65-J$38</f>
        <v>0</v>
      </c>
      <c r="Q65" s="62">
        <f t="shared" ref="Q65:Q75" si="83">P$38-G65</f>
        <v>0</v>
      </c>
      <c r="R65" s="61">
        <f t="shared" ref="R65:R75" si="84">(E65+2)*SIN(RADIANS(K65))</f>
        <v>107.89989870473245</v>
      </c>
      <c r="S65" s="39">
        <f t="shared" ref="S65:S69" si="85">(F65)- (E65+2)*COS(RADIANS(K65))</f>
        <v>47.760505534340041</v>
      </c>
      <c r="T65" s="2">
        <f t="shared" ref="T65:T75" si="86">D65-D$38</f>
        <v>0</v>
      </c>
      <c r="U65" s="27"/>
      <c r="V65" s="40">
        <f t="shared" ref="V65:V75" si="87">E65-(F65+2)</f>
        <v>20</v>
      </c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128">
        <f>F65</f>
        <v>93</v>
      </c>
      <c r="AH65" s="128">
        <f>M65</f>
        <v>6.12415759733274</v>
      </c>
      <c r="AI65" s="128">
        <f t="shared" ref="AI65:AI75" si="88">N65</f>
        <v>-6.1241575973327471</v>
      </c>
      <c r="AJ65" s="128">
        <f t="shared" ref="AJ65:AJ75" si="89">O65</f>
        <v>0</v>
      </c>
      <c r="AK65" s="128">
        <f>Q65</f>
        <v>0</v>
      </c>
      <c r="AL65" s="27"/>
      <c r="AM65" s="134">
        <f>AG65/AG$38-1</f>
        <v>5.6818181818181879E-2</v>
      </c>
      <c r="AN65" s="135">
        <f t="shared" ref="AN65:AN75" si="90">K65/K$38-1</f>
        <v>0.10018438611566083</v>
      </c>
      <c r="AO65" s="135">
        <f t="shared" ref="AO65:AO75" si="91">I65/I$38-1</f>
        <v>-0.20162641420599126</v>
      </c>
      <c r="AP65" s="135">
        <f t="shared" ref="AP65:AP75" si="92">J65/J$38-1</f>
        <v>0</v>
      </c>
      <c r="AQ65" s="134">
        <f>(Q65+60)/(Q$38+60) -1</f>
        <v>0</v>
      </c>
    </row>
    <row r="66" spans="1:43" s="59" customFormat="1">
      <c r="A66" s="27"/>
      <c r="B66" s="20">
        <f t="shared" si="74"/>
        <v>183</v>
      </c>
      <c r="C66" s="18">
        <f t="shared" si="75"/>
        <v>162.89629500000001</v>
      </c>
      <c r="D66" s="63"/>
      <c r="E66" s="63">
        <f t="shared" ref="E66" si="93">4*E63+E70</f>
        <v>115</v>
      </c>
      <c r="F66" s="63">
        <f>4*F63+F70</f>
        <v>92</v>
      </c>
      <c r="G66" s="63">
        <f>4*G63+G70</f>
        <v>59.159774278926747</v>
      </c>
      <c r="I66" s="44">
        <f t="shared" si="77"/>
        <v>25.582987370483785</v>
      </c>
      <c r="J66" s="44">
        <f t="shared" si="78"/>
        <v>91.50264903743151</v>
      </c>
      <c r="K66" s="9">
        <f t="shared" si="79"/>
        <v>65.919661666947718</v>
      </c>
      <c r="L66" s="27"/>
      <c r="M66" s="69">
        <f t="shared" si="80"/>
        <v>4.790798829354145</v>
      </c>
      <c r="N66" s="69">
        <f t="shared" si="81"/>
        <v>-4.7907988293541557</v>
      </c>
      <c r="O66" s="9">
        <f t="shared" si="82"/>
        <v>0</v>
      </c>
      <c r="Q66" s="62">
        <f t="shared" si="83"/>
        <v>0</v>
      </c>
      <c r="R66" s="61">
        <f t="shared" si="84"/>
        <v>106.81798684055083</v>
      </c>
      <c r="S66" s="39">
        <f t="shared" si="85"/>
        <v>44.261989072313554</v>
      </c>
      <c r="T66" s="2">
        <f t="shared" si="86"/>
        <v>0</v>
      </c>
      <c r="U66" s="27"/>
      <c r="V66" s="40">
        <f t="shared" si="87"/>
        <v>21</v>
      </c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128">
        <f t="shared" ref="AG66:AG75" si="94">F66</f>
        <v>92</v>
      </c>
      <c r="AH66" s="128">
        <f t="shared" ref="AH66:AH75" si="95">M66</f>
        <v>4.790798829354145</v>
      </c>
      <c r="AI66" s="128">
        <f t="shared" si="88"/>
        <v>-4.7907988293541557</v>
      </c>
      <c r="AJ66" s="128">
        <f t="shared" si="89"/>
        <v>0</v>
      </c>
      <c r="AK66" s="128">
        <f t="shared" ref="AK66:AK75" si="96">Q66</f>
        <v>0</v>
      </c>
      <c r="AL66" s="27"/>
      <c r="AM66" s="134">
        <f t="shared" ref="AM66:AM75" si="97">AG66/AG$38-1</f>
        <v>4.5454545454545414E-2</v>
      </c>
      <c r="AN66" s="135">
        <f t="shared" si="90"/>
        <v>7.8372124181048219E-2</v>
      </c>
      <c r="AO66" s="135">
        <f t="shared" si="91"/>
        <v>-0.15772807505241859</v>
      </c>
      <c r="AP66" s="135">
        <f t="shared" si="92"/>
        <v>0</v>
      </c>
      <c r="AQ66" s="134">
        <f t="shared" ref="AQ66:AQ75" si="98">(Q66+60)/(Q$38+60) -1</f>
        <v>0</v>
      </c>
    </row>
    <row r="67" spans="1:43" s="59" customFormat="1">
      <c r="A67" s="27"/>
      <c r="B67" s="20">
        <f t="shared" si="74"/>
        <v>183</v>
      </c>
      <c r="C67" s="18">
        <f t="shared" si="75"/>
        <v>162.89629500000001</v>
      </c>
      <c r="D67" s="63"/>
      <c r="E67" s="63">
        <f t="shared" ref="E67" si="99">3*E63+E70</f>
        <v>115</v>
      </c>
      <c r="F67" s="63">
        <f>3*F63+F70</f>
        <v>91</v>
      </c>
      <c r="G67" s="63">
        <f>3*G63+G70</f>
        <v>59.159774278926747</v>
      </c>
      <c r="I67" s="44">
        <f t="shared" si="77"/>
        <v>26.854458809635489</v>
      </c>
      <c r="J67" s="44">
        <f t="shared" si="78"/>
        <v>91.50264903743151</v>
      </c>
      <c r="K67" s="9">
        <f t="shared" si="79"/>
        <v>64.648190227796022</v>
      </c>
      <c r="L67" s="27"/>
      <c r="M67" s="69">
        <f t="shared" si="80"/>
        <v>3.5193273902024487</v>
      </c>
      <c r="N67" s="69">
        <f t="shared" si="81"/>
        <v>-3.5193273902024522</v>
      </c>
      <c r="O67" s="9">
        <f t="shared" si="82"/>
        <v>0</v>
      </c>
      <c r="Q67" s="62">
        <f t="shared" si="83"/>
        <v>0</v>
      </c>
      <c r="R67" s="61">
        <f t="shared" si="84"/>
        <v>105.73240172866643</v>
      </c>
      <c r="S67" s="39">
        <f t="shared" si="85"/>
        <v>40.903500873934341</v>
      </c>
      <c r="T67" s="2">
        <f t="shared" si="86"/>
        <v>0</v>
      </c>
      <c r="U67" s="27"/>
      <c r="V67" s="40">
        <f t="shared" si="87"/>
        <v>22</v>
      </c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128">
        <f t="shared" si="94"/>
        <v>91</v>
      </c>
      <c r="AH67" s="128">
        <f t="shared" si="95"/>
        <v>3.5193273902024487</v>
      </c>
      <c r="AI67" s="128">
        <f t="shared" si="88"/>
        <v>-3.5193273902024522</v>
      </c>
      <c r="AJ67" s="128">
        <f t="shared" si="89"/>
        <v>0</v>
      </c>
      <c r="AK67" s="128">
        <f t="shared" si="96"/>
        <v>0</v>
      </c>
      <c r="AL67" s="27"/>
      <c r="AM67" s="134">
        <f t="shared" si="97"/>
        <v>3.4090909090909172E-2</v>
      </c>
      <c r="AN67" s="135">
        <f t="shared" si="90"/>
        <v>5.7572269903867657E-2</v>
      </c>
      <c r="AO67" s="135">
        <f t="shared" si="91"/>
        <v>-0.11586726024367777</v>
      </c>
      <c r="AP67" s="135">
        <f t="shared" si="92"/>
        <v>0</v>
      </c>
      <c r="AQ67" s="134">
        <f t="shared" si="98"/>
        <v>0</v>
      </c>
    </row>
    <row r="68" spans="1:43" s="59" customFormat="1">
      <c r="A68" s="27"/>
      <c r="B68" s="20">
        <f t="shared" si="74"/>
        <v>183</v>
      </c>
      <c r="C68" s="18">
        <f t="shared" si="75"/>
        <v>162.89629500000001</v>
      </c>
      <c r="D68" s="63"/>
      <c r="E68" s="63">
        <f t="shared" ref="E68" si="100">2*E63+E70</f>
        <v>115</v>
      </c>
      <c r="F68" s="63">
        <f>2*F63+F70</f>
        <v>90</v>
      </c>
      <c r="G68" s="63">
        <f>2*G63+G70</f>
        <v>59.159774278926747</v>
      </c>
      <c r="I68" s="44">
        <f t="shared" si="77"/>
        <v>28.072486935852954</v>
      </c>
      <c r="J68" s="44">
        <f t="shared" si="78"/>
        <v>91.50264903743151</v>
      </c>
      <c r="K68" s="9">
        <f t="shared" si="79"/>
        <v>63.43016210157856</v>
      </c>
      <c r="L68" s="27"/>
      <c r="M68" s="69">
        <f t="shared" si="80"/>
        <v>2.301299263984987</v>
      </c>
      <c r="N68" s="69">
        <f t="shared" si="81"/>
        <v>-2.301299263984987</v>
      </c>
      <c r="O68" s="9">
        <f t="shared" si="82"/>
        <v>0</v>
      </c>
      <c r="Q68" s="62">
        <f t="shared" si="83"/>
        <v>0</v>
      </c>
      <c r="R68" s="61">
        <f t="shared" si="84"/>
        <v>104.64360962381541</v>
      </c>
      <c r="S68" s="39">
        <f t="shared" si="85"/>
        <v>37.667266793157779</v>
      </c>
      <c r="T68" s="2">
        <f t="shared" si="86"/>
        <v>0</v>
      </c>
      <c r="U68" s="27"/>
      <c r="V68" s="40">
        <f t="shared" si="87"/>
        <v>23</v>
      </c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128">
        <f t="shared" si="94"/>
        <v>90</v>
      </c>
      <c r="AH68" s="128">
        <f t="shared" si="95"/>
        <v>2.301299263984987</v>
      </c>
      <c r="AI68" s="128">
        <f t="shared" si="88"/>
        <v>-2.301299263984987</v>
      </c>
      <c r="AJ68" s="128">
        <f t="shared" si="89"/>
        <v>0</v>
      </c>
      <c r="AK68" s="128">
        <f t="shared" si="96"/>
        <v>0</v>
      </c>
      <c r="AL68" s="27"/>
      <c r="AM68" s="134">
        <f t="shared" si="97"/>
        <v>2.2727272727272707E-2</v>
      </c>
      <c r="AN68" s="135">
        <f t="shared" si="90"/>
        <v>3.7646688604351386E-2</v>
      </c>
      <c r="AO68" s="135">
        <f t="shared" si="91"/>
        <v>-7.5765966377852045E-2</v>
      </c>
      <c r="AP68" s="135">
        <f t="shared" si="92"/>
        <v>0</v>
      </c>
      <c r="AQ68" s="134">
        <f t="shared" si="98"/>
        <v>0</v>
      </c>
    </row>
    <row r="69" spans="1:43" s="59" customFormat="1">
      <c r="A69" s="27"/>
      <c r="B69" s="20">
        <f t="shared" si="74"/>
        <v>183</v>
      </c>
      <c r="C69" s="18">
        <f t="shared" si="75"/>
        <v>162.89629500000001</v>
      </c>
      <c r="D69" s="63"/>
      <c r="E69" s="63">
        <f t="shared" ref="E69" si="101">E70+E63</f>
        <v>115</v>
      </c>
      <c r="F69" s="63">
        <f>F70+F63</f>
        <v>89</v>
      </c>
      <c r="G69" s="63">
        <f>G70+G63</f>
        <v>59.159774278926747</v>
      </c>
      <c r="I69" s="44">
        <f t="shared" si="77"/>
        <v>29.243783142151937</v>
      </c>
      <c r="J69" s="44">
        <f t="shared" si="78"/>
        <v>91.50264903743151</v>
      </c>
      <c r="K69" s="9">
        <f t="shared" si="79"/>
        <v>62.25886589527957</v>
      </c>
      <c r="L69" s="27"/>
      <c r="M69" s="69">
        <f t="shared" si="80"/>
        <v>1.1300030576859967</v>
      </c>
      <c r="N69" s="69">
        <f t="shared" si="81"/>
        <v>-1.1300030576860038</v>
      </c>
      <c r="O69" s="9">
        <f t="shared" si="82"/>
        <v>0</v>
      </c>
      <c r="Q69" s="62">
        <f t="shared" si="83"/>
        <v>0</v>
      </c>
      <c r="R69" s="61">
        <f t="shared" si="84"/>
        <v>103.55198204783886</v>
      </c>
      <c r="S69" s="39">
        <f t="shared" si="85"/>
        <v>34.539124006640705</v>
      </c>
      <c r="T69" s="2">
        <f t="shared" si="86"/>
        <v>0</v>
      </c>
      <c r="U69" s="27"/>
      <c r="V69" s="40">
        <f t="shared" si="87"/>
        <v>24</v>
      </c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128">
        <f t="shared" si="94"/>
        <v>89</v>
      </c>
      <c r="AH69" s="128">
        <f t="shared" si="95"/>
        <v>1.1300030576859967</v>
      </c>
      <c r="AI69" s="128">
        <f t="shared" si="88"/>
        <v>-1.1300030576860038</v>
      </c>
      <c r="AJ69" s="128">
        <f t="shared" si="89"/>
        <v>0</v>
      </c>
      <c r="AK69" s="128">
        <f t="shared" si="96"/>
        <v>0</v>
      </c>
      <c r="AL69" s="27"/>
      <c r="AM69" s="134">
        <f t="shared" si="97"/>
        <v>1.1363636363636465E-2</v>
      </c>
      <c r="AN69" s="135">
        <f t="shared" si="90"/>
        <v>1.8485589380063727E-2</v>
      </c>
      <c r="AO69" s="135">
        <f t="shared" si="91"/>
        <v>-3.7203233414872527E-2</v>
      </c>
      <c r="AP69" s="135">
        <f t="shared" si="92"/>
        <v>0</v>
      </c>
      <c r="AQ69" s="134">
        <f t="shared" si="98"/>
        <v>0</v>
      </c>
    </row>
    <row r="70" spans="1:43" s="15" customFormat="1">
      <c r="B70" s="158">
        <v>183</v>
      </c>
      <c r="C70" s="37">
        <f>100*(0.297865*B70/100+1.08387)</f>
        <v>162.89629500000001</v>
      </c>
      <c r="D70" s="40"/>
      <c r="E70" s="147">
        <v>115</v>
      </c>
      <c r="F70" s="147">
        <v>88</v>
      </c>
      <c r="G70" s="41">
        <f>(E70+2)*SIN(RADIANS(I70))</f>
        <v>59.159774278926747</v>
      </c>
      <c r="I70" s="44">
        <f>DEGREES(ACOS((F70+D70/2)/(E70+2-15)))</f>
        <v>30.373786199837941</v>
      </c>
      <c r="J70" s="44">
        <f>DEGREES(C70/(E70-15+2))</f>
        <v>91.50264903743151</v>
      </c>
      <c r="K70" s="44">
        <f>J70-I70</f>
        <v>61.128862837593573</v>
      </c>
      <c r="M70" s="70">
        <f t="shared" si="80"/>
        <v>0</v>
      </c>
      <c r="N70" s="70">
        <f t="shared" si="81"/>
        <v>0</v>
      </c>
      <c r="O70" s="44">
        <f>J70-J$38</f>
        <v>0</v>
      </c>
      <c r="Q70" s="41">
        <f t="shared" si="83"/>
        <v>0</v>
      </c>
      <c r="R70" s="39">
        <f t="shared" si="84"/>
        <v>102.45782080834047</v>
      </c>
      <c r="S70" s="39">
        <f>(F70)- (E70+2)*COS(RADIANS(K70))</f>
        <v>31.507567274846515</v>
      </c>
      <c r="T70" s="43">
        <f t="shared" si="86"/>
        <v>0</v>
      </c>
      <c r="V70" s="40">
        <f t="shared" si="87"/>
        <v>25</v>
      </c>
      <c r="AG70" s="148">
        <f t="shared" si="94"/>
        <v>88</v>
      </c>
      <c r="AH70" s="148">
        <f t="shared" si="95"/>
        <v>0</v>
      </c>
      <c r="AI70" s="148">
        <f t="shared" si="88"/>
        <v>0</v>
      </c>
      <c r="AJ70" s="148">
        <f t="shared" si="89"/>
        <v>0</v>
      </c>
      <c r="AK70" s="148">
        <f t="shared" si="96"/>
        <v>0</v>
      </c>
      <c r="AM70" s="150">
        <f t="shared" si="97"/>
        <v>0</v>
      </c>
      <c r="AN70" s="151">
        <f t="shared" si="90"/>
        <v>0</v>
      </c>
      <c r="AO70" s="151">
        <f t="shared" si="91"/>
        <v>0</v>
      </c>
      <c r="AP70" s="151">
        <f t="shared" si="92"/>
        <v>0</v>
      </c>
      <c r="AQ70" s="150">
        <f t="shared" si="98"/>
        <v>0</v>
      </c>
    </row>
    <row r="71" spans="1:43" s="59" customFormat="1">
      <c r="B71" s="20">
        <f t="shared" ref="B71:B75" si="102">B$38</f>
        <v>183</v>
      </c>
      <c r="C71" s="18">
        <f>100*(0.297865*B75/100+1.08387)</f>
        <v>162.89629500000001</v>
      </c>
      <c r="D71" s="63"/>
      <c r="E71" s="63">
        <f t="shared" ref="E71" si="103">E70-E63</f>
        <v>115</v>
      </c>
      <c r="F71" s="63">
        <f>F70-F63</f>
        <v>87</v>
      </c>
      <c r="G71" s="63">
        <f>G70-G63</f>
        <v>59.159774278926747</v>
      </c>
      <c r="I71" s="44">
        <f t="shared" ref="I71:I75" si="104">DEGREES(ACOS((F71+D71/2)/(E71+2-15)))</f>
        <v>31.466976293267564</v>
      </c>
      <c r="J71" s="44">
        <f t="shared" ref="J71:J75" si="105">DEGREES(C71/(E71-15+2))</f>
        <v>91.50264903743151</v>
      </c>
      <c r="K71" s="9">
        <f t="shared" ref="K71:K75" si="106">J71-I71</f>
        <v>60.035672744163946</v>
      </c>
      <c r="M71" s="69">
        <f t="shared" si="80"/>
        <v>-1.0931900934296266</v>
      </c>
      <c r="N71" s="69">
        <f t="shared" si="81"/>
        <v>1.093190093429623</v>
      </c>
      <c r="O71" s="9">
        <f t="shared" ref="O71:O74" si="107">J71-J$38</f>
        <v>0</v>
      </c>
      <c r="Q71" s="62">
        <f t="shared" si="83"/>
        <v>0</v>
      </c>
      <c r="R71" s="61">
        <f t="shared" si="84"/>
        <v>101.36137510173202</v>
      </c>
      <c r="S71" s="39">
        <f t="shared" ref="S71:S75" si="108">(F71)- (E71+2)*COS(RADIANS(K71))</f>
        <v>28.563096955040635</v>
      </c>
      <c r="T71" s="2">
        <f t="shared" si="86"/>
        <v>0</v>
      </c>
      <c r="V71" s="40">
        <f t="shared" si="87"/>
        <v>26</v>
      </c>
      <c r="AG71" s="128">
        <f t="shared" si="94"/>
        <v>87</v>
      </c>
      <c r="AH71" s="128">
        <f t="shared" si="95"/>
        <v>-1.0931900934296266</v>
      </c>
      <c r="AI71" s="128">
        <f t="shared" si="88"/>
        <v>1.093190093429623</v>
      </c>
      <c r="AJ71" s="128">
        <f t="shared" si="89"/>
        <v>0</v>
      </c>
      <c r="AK71" s="128">
        <f t="shared" si="96"/>
        <v>0</v>
      </c>
      <c r="AM71" s="134">
        <f t="shared" si="97"/>
        <v>-1.1363636363636354E-2</v>
      </c>
      <c r="AN71" s="135">
        <f t="shared" si="90"/>
        <v>-1.7883370353772188E-2</v>
      </c>
      <c r="AO71" s="135">
        <f t="shared" si="91"/>
        <v>3.5991235542293332E-2</v>
      </c>
      <c r="AP71" s="135">
        <f t="shared" si="92"/>
        <v>0</v>
      </c>
      <c r="AQ71" s="134">
        <f t="shared" si="98"/>
        <v>0</v>
      </c>
    </row>
    <row r="72" spans="1:43" s="59" customFormat="1">
      <c r="B72" s="20">
        <f t="shared" si="102"/>
        <v>183</v>
      </c>
      <c r="C72" s="18">
        <f t="shared" ref="C72:C75" si="109">100*(0.297865*B72/100+1.08387)</f>
        <v>162.89629500000001</v>
      </c>
      <c r="D72" s="63"/>
      <c r="E72" s="63">
        <f t="shared" ref="E72" si="110">E70-2*E63</f>
        <v>115</v>
      </c>
      <c r="F72" s="63">
        <f>F70-2*F63</f>
        <v>86</v>
      </c>
      <c r="G72" s="63">
        <f>G70-2*G63</f>
        <v>59.159774278926747</v>
      </c>
      <c r="I72" s="44">
        <f t="shared" si="104"/>
        <v>32.527095987158376</v>
      </c>
      <c r="J72" s="44">
        <f t="shared" si="105"/>
        <v>91.50264903743151</v>
      </c>
      <c r="K72" s="9">
        <f t="shared" si="106"/>
        <v>58.975553050273135</v>
      </c>
      <c r="M72" s="69">
        <f t="shared" si="80"/>
        <v>-2.1533097873204383</v>
      </c>
      <c r="N72" s="69">
        <f t="shared" si="81"/>
        <v>2.1533097873204348</v>
      </c>
      <c r="O72" s="9">
        <f t="shared" si="107"/>
        <v>0</v>
      </c>
      <c r="Q72" s="62">
        <f t="shared" si="83"/>
        <v>0</v>
      </c>
      <c r="R72" s="61">
        <f t="shared" si="84"/>
        <v>100.26285356389199</v>
      </c>
      <c r="S72" s="39">
        <f t="shared" si="108"/>
        <v>25.697759616863728</v>
      </c>
      <c r="T72" s="2">
        <f t="shared" si="86"/>
        <v>0</v>
      </c>
      <c r="V72" s="40">
        <f t="shared" si="87"/>
        <v>27</v>
      </c>
      <c r="AG72" s="128">
        <f t="shared" si="94"/>
        <v>86</v>
      </c>
      <c r="AH72" s="128">
        <f t="shared" si="95"/>
        <v>-2.1533097873204383</v>
      </c>
      <c r="AI72" s="128">
        <f t="shared" si="88"/>
        <v>2.1533097873204348</v>
      </c>
      <c r="AJ72" s="128">
        <f t="shared" si="89"/>
        <v>0</v>
      </c>
      <c r="AK72" s="128">
        <f t="shared" si="96"/>
        <v>0</v>
      </c>
      <c r="AM72" s="134">
        <f t="shared" si="97"/>
        <v>-2.2727272727272707E-2</v>
      </c>
      <c r="AN72" s="135">
        <f t="shared" si="90"/>
        <v>-3.5225745864786107E-2</v>
      </c>
      <c r="AO72" s="135">
        <f t="shared" si="91"/>
        <v>7.089369014297997E-2</v>
      </c>
      <c r="AP72" s="135">
        <f t="shared" si="92"/>
        <v>0</v>
      </c>
      <c r="AQ72" s="134">
        <f t="shared" si="98"/>
        <v>0</v>
      </c>
    </row>
    <row r="73" spans="1:43" s="59" customFormat="1">
      <c r="B73" s="20">
        <f t="shared" si="102"/>
        <v>183</v>
      </c>
      <c r="C73" s="18">
        <f t="shared" si="109"/>
        <v>162.89629500000001</v>
      </c>
      <c r="D73" s="63"/>
      <c r="E73" s="63">
        <f t="shared" ref="E73" si="111">E70-3*E63</f>
        <v>115</v>
      </c>
      <c r="F73" s="63">
        <f>F70-3*F63</f>
        <v>85</v>
      </c>
      <c r="G73" s="63">
        <f>G70-3*G63</f>
        <v>59.159774278926747</v>
      </c>
      <c r="I73" s="44">
        <f t="shared" si="104"/>
        <v>33.557309761920713</v>
      </c>
      <c r="J73" s="44">
        <f t="shared" si="105"/>
        <v>91.50264903743151</v>
      </c>
      <c r="K73" s="9">
        <f t="shared" si="106"/>
        <v>57.945339275510797</v>
      </c>
      <c r="M73" s="69">
        <f t="shared" si="80"/>
        <v>-3.183523562082776</v>
      </c>
      <c r="N73" s="69">
        <f t="shared" si="81"/>
        <v>3.1835235620827724</v>
      </c>
      <c r="O73" s="9">
        <f t="shared" si="107"/>
        <v>0</v>
      </c>
      <c r="Q73" s="62">
        <f t="shared" si="83"/>
        <v>0</v>
      </c>
      <c r="R73" s="61">
        <f t="shared" si="84"/>
        <v>99.162432982272293</v>
      </c>
      <c r="S73" s="39">
        <f t="shared" si="108"/>
        <v>22.904815927188402</v>
      </c>
      <c r="T73" s="2">
        <f t="shared" si="86"/>
        <v>0</v>
      </c>
      <c r="V73" s="40">
        <f t="shared" si="87"/>
        <v>28</v>
      </c>
      <c r="AG73" s="128">
        <f t="shared" si="94"/>
        <v>85</v>
      </c>
      <c r="AH73" s="128">
        <f t="shared" si="95"/>
        <v>-3.183523562082776</v>
      </c>
      <c r="AI73" s="128">
        <f t="shared" si="88"/>
        <v>3.1835235620827724</v>
      </c>
      <c r="AJ73" s="128">
        <f t="shared" si="89"/>
        <v>0</v>
      </c>
      <c r="AK73" s="128">
        <f t="shared" si="96"/>
        <v>0</v>
      </c>
      <c r="AM73" s="134">
        <f t="shared" si="97"/>
        <v>-3.4090909090909061E-2</v>
      </c>
      <c r="AN73" s="135">
        <f t="shared" si="90"/>
        <v>-5.2078893902226198E-2</v>
      </c>
      <c r="AO73" s="135">
        <f t="shared" si="91"/>
        <v>0.10481154839036022</v>
      </c>
      <c r="AP73" s="135">
        <f t="shared" si="92"/>
        <v>0</v>
      </c>
      <c r="AQ73" s="134">
        <f t="shared" si="98"/>
        <v>0</v>
      </c>
    </row>
    <row r="74" spans="1:43" s="59" customFormat="1">
      <c r="B74" s="20">
        <f t="shared" si="102"/>
        <v>183</v>
      </c>
      <c r="C74" s="18">
        <f t="shared" si="109"/>
        <v>162.89629500000001</v>
      </c>
      <c r="D74" s="63"/>
      <c r="E74" s="63">
        <f t="shared" ref="E74" si="112">E70-4*E63</f>
        <v>115</v>
      </c>
      <c r="F74" s="63">
        <f>F70-4*F63</f>
        <v>84</v>
      </c>
      <c r="G74" s="63">
        <f>G70-4*G63</f>
        <v>59.159774278926747</v>
      </c>
      <c r="I74" s="44">
        <f t="shared" si="104"/>
        <v>34.560321779997842</v>
      </c>
      <c r="J74" s="44">
        <f t="shared" si="105"/>
        <v>91.50264903743151</v>
      </c>
      <c r="K74" s="9">
        <f t="shared" si="106"/>
        <v>56.942327257433668</v>
      </c>
      <c r="M74" s="69">
        <f t="shared" si="80"/>
        <v>-4.1865355801599051</v>
      </c>
      <c r="N74" s="69">
        <f t="shared" si="81"/>
        <v>4.1865355801599016</v>
      </c>
      <c r="O74" s="9">
        <f t="shared" si="107"/>
        <v>0</v>
      </c>
      <c r="Q74" s="62">
        <f t="shared" si="83"/>
        <v>0</v>
      </c>
      <c r="R74" s="61">
        <f t="shared" si="84"/>
        <v>98.060264735628166</v>
      </c>
      <c r="S74" s="39">
        <f t="shared" si="108"/>
        <v>20.17849516049845</v>
      </c>
      <c r="T74" s="2">
        <f t="shared" si="86"/>
        <v>0</v>
      </c>
      <c r="V74" s="40">
        <f t="shared" si="87"/>
        <v>29</v>
      </c>
      <c r="AG74" s="128">
        <f t="shared" si="94"/>
        <v>84</v>
      </c>
      <c r="AH74" s="128">
        <f t="shared" si="95"/>
        <v>-4.1865355801599051</v>
      </c>
      <c r="AI74" s="128">
        <f t="shared" si="88"/>
        <v>4.1865355801599016</v>
      </c>
      <c r="AJ74" s="128">
        <f t="shared" si="89"/>
        <v>0</v>
      </c>
      <c r="AK74" s="128">
        <f t="shared" si="96"/>
        <v>0</v>
      </c>
      <c r="AM74" s="134">
        <f t="shared" si="97"/>
        <v>-4.5454545454545414E-2</v>
      </c>
      <c r="AN74" s="135">
        <f t="shared" si="90"/>
        <v>-6.8487051546871403E-2</v>
      </c>
      <c r="AO74" s="135">
        <f t="shared" si="91"/>
        <v>0.13783383976615471</v>
      </c>
      <c r="AP74" s="135">
        <f t="shared" si="92"/>
        <v>0</v>
      </c>
      <c r="AQ74" s="134">
        <f t="shared" si="98"/>
        <v>0</v>
      </c>
    </row>
    <row r="75" spans="1:43" s="59" customFormat="1">
      <c r="B75" s="20">
        <f t="shared" si="102"/>
        <v>183</v>
      </c>
      <c r="C75" s="18">
        <f t="shared" si="109"/>
        <v>162.89629500000001</v>
      </c>
      <c r="D75" s="63"/>
      <c r="E75" s="63">
        <f t="shared" ref="E75" si="113">E70-5*E63</f>
        <v>115</v>
      </c>
      <c r="F75" s="63">
        <f>F70-5*F63</f>
        <v>83</v>
      </c>
      <c r="G75" s="63">
        <f>G70-5*G63</f>
        <v>59.159774278926747</v>
      </c>
      <c r="I75" s="44">
        <f t="shared" si="104"/>
        <v>35.538464515621705</v>
      </c>
      <c r="J75" s="44">
        <f t="shared" si="105"/>
        <v>91.50264903743151</v>
      </c>
      <c r="K75" s="9">
        <f t="shared" si="106"/>
        <v>55.964184521809806</v>
      </c>
      <c r="M75" s="69">
        <f t="shared" si="80"/>
        <v>-5.1646783157837675</v>
      </c>
      <c r="N75" s="69">
        <f t="shared" si="81"/>
        <v>5.1646783157837639</v>
      </c>
      <c r="O75" s="9">
        <f>J75-J$38</f>
        <v>0</v>
      </c>
      <c r="Q75" s="62">
        <f t="shared" si="83"/>
        <v>0</v>
      </c>
      <c r="R75" s="61">
        <f t="shared" si="84"/>
        <v>96.956479646934085</v>
      </c>
      <c r="S75" s="39">
        <f t="shared" si="108"/>
        <v>17.513810200366251</v>
      </c>
      <c r="T75" s="2">
        <f t="shared" si="86"/>
        <v>0</v>
      </c>
      <c r="V75" s="40">
        <f t="shared" si="87"/>
        <v>30</v>
      </c>
      <c r="AG75" s="128">
        <f t="shared" si="94"/>
        <v>83</v>
      </c>
      <c r="AH75" s="128">
        <f t="shared" si="95"/>
        <v>-5.1646783157837675</v>
      </c>
      <c r="AI75" s="128">
        <f t="shared" si="88"/>
        <v>5.1646783157837639</v>
      </c>
      <c r="AJ75" s="128">
        <f t="shared" si="89"/>
        <v>0</v>
      </c>
      <c r="AK75" s="128">
        <f t="shared" si="96"/>
        <v>0</v>
      </c>
      <c r="AM75" s="134">
        <f t="shared" si="97"/>
        <v>-5.6818181818181768E-2</v>
      </c>
      <c r="AN75" s="135">
        <f t="shared" si="90"/>
        <v>-8.4488375475022748E-2</v>
      </c>
      <c r="AO75" s="135">
        <f t="shared" si="91"/>
        <v>0.17003735661414909</v>
      </c>
      <c r="AP75" s="135">
        <f t="shared" si="92"/>
        <v>0</v>
      </c>
      <c r="AQ75" s="134">
        <f t="shared" si="98"/>
        <v>0</v>
      </c>
    </row>
    <row r="76" spans="1:43" s="59" customFormat="1" ht="16.5" customHeight="1">
      <c r="A76" s="12"/>
      <c r="B76" s="5"/>
      <c r="C76" s="19" t="s">
        <v>24</v>
      </c>
      <c r="D76" s="19"/>
      <c r="E76" s="19"/>
      <c r="F76" s="5"/>
      <c r="G76" s="13"/>
      <c r="H76" s="13"/>
      <c r="I76" s="13"/>
      <c r="J76" s="12"/>
      <c r="K76" s="13"/>
      <c r="L76" s="12"/>
      <c r="M76" s="13"/>
      <c r="N76" s="13"/>
      <c r="O76" s="13"/>
      <c r="P76" s="14"/>
      <c r="Q76" s="13"/>
      <c r="R76" s="13"/>
      <c r="S76" s="13"/>
      <c r="T76" s="13"/>
      <c r="U76" s="13"/>
      <c r="V76" s="13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7"/>
      <c r="AH76" s="126"/>
      <c r="AI76" s="126"/>
      <c r="AJ76" s="126"/>
      <c r="AK76" s="127"/>
      <c r="AL76" s="12"/>
      <c r="AM76" s="12"/>
      <c r="AN76" s="12"/>
      <c r="AO76" s="12"/>
      <c r="AP76" s="12"/>
      <c r="AQ76" s="12"/>
    </row>
    <row r="77" spans="1:43" s="59" customFormat="1">
      <c r="A77" s="15"/>
    </row>
    <row r="78" spans="1:43">
      <c r="A78" s="60" t="s">
        <v>107</v>
      </c>
      <c r="B78" s="2"/>
      <c r="C78" s="2"/>
      <c r="D78" s="20" t="s">
        <v>108</v>
      </c>
      <c r="E78" s="60">
        <v>0</v>
      </c>
      <c r="F78" s="60">
        <v>1</v>
      </c>
      <c r="G78" s="59"/>
      <c r="H78" s="59"/>
      <c r="I78" s="59"/>
      <c r="J78" s="59"/>
      <c r="K78" s="59"/>
      <c r="L78" s="59"/>
      <c r="M78" s="59"/>
      <c r="N78" s="59"/>
      <c r="O78" s="59"/>
      <c r="P78" s="2" t="s">
        <v>52</v>
      </c>
      <c r="Q78" s="2"/>
      <c r="R78" s="2"/>
      <c r="S78" s="138"/>
      <c r="T78" s="138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 t="s">
        <v>111</v>
      </c>
      <c r="AN78" s="59"/>
      <c r="AO78" s="59"/>
      <c r="AP78" s="59"/>
      <c r="AQ78" s="59"/>
    </row>
    <row r="79" spans="1:43" ht="135">
      <c r="A79" s="27"/>
      <c r="B79" s="28" t="s">
        <v>12</v>
      </c>
      <c r="C79" s="28" t="s">
        <v>8</v>
      </c>
      <c r="D79" s="65" t="s">
        <v>42</v>
      </c>
      <c r="E79" s="28" t="s">
        <v>3</v>
      </c>
      <c r="F79" s="28" t="s">
        <v>4</v>
      </c>
      <c r="G79" s="141" t="s">
        <v>49</v>
      </c>
      <c r="H79" s="65" t="s">
        <v>42</v>
      </c>
      <c r="I79" s="66" t="s">
        <v>1</v>
      </c>
      <c r="J79" s="66" t="s">
        <v>6</v>
      </c>
      <c r="K79" s="66" t="s">
        <v>5</v>
      </c>
      <c r="L79" s="27"/>
      <c r="M79" s="66" t="s">
        <v>21</v>
      </c>
      <c r="N79" s="66" t="s">
        <v>20</v>
      </c>
      <c r="O79" s="66" t="s">
        <v>91</v>
      </c>
      <c r="P79" s="46" t="s">
        <v>50</v>
      </c>
      <c r="Q79" s="46" t="s">
        <v>112</v>
      </c>
      <c r="R79" s="28" t="s">
        <v>18</v>
      </c>
      <c r="S79" s="28" t="s">
        <v>19</v>
      </c>
      <c r="T79" s="73" t="s">
        <v>83</v>
      </c>
      <c r="U79" s="27"/>
      <c r="V79" s="139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8" t="str">
        <f t="shared" ref="AG79" si="114">F79</f>
        <v>span (cm)</v>
      </c>
      <c r="AH79" s="28" t="s">
        <v>113</v>
      </c>
      <c r="AI79" s="28" t="s">
        <v>114</v>
      </c>
      <c r="AJ79" s="28" t="s">
        <v>115</v>
      </c>
      <c r="AK79" s="28" t="str">
        <f>T79</f>
        <v>change in distance between handles (cm / cm)</v>
      </c>
      <c r="AL79" s="59"/>
      <c r="AM79" s="28" t="str">
        <f>AG79</f>
        <v>span (cm)</v>
      </c>
      <c r="AN79" s="28" t="str">
        <f t="shared" ref="AN79:AQ79" si="115">AH79</f>
        <v>Change in catch angle (deg)</v>
      </c>
      <c r="AO79" s="28" t="str">
        <f t="shared" si="115"/>
        <v>Change in finish angle (deg)</v>
      </c>
      <c r="AP79" s="28" t="str">
        <f t="shared" si="115"/>
        <v>Change in sweep angle (deg)</v>
      </c>
      <c r="AQ79" s="28" t="str">
        <f t="shared" si="115"/>
        <v>change in distance between handles (cm / cm)</v>
      </c>
    </row>
    <row r="80" spans="1:43">
      <c r="A80" s="15"/>
      <c r="B80" s="20">
        <f t="shared" ref="B80:B83" si="116">B$85</f>
        <v>183</v>
      </c>
      <c r="C80" s="18">
        <f t="shared" ref="C80:C84" si="117">100*(0.297865*B80/100+1.08387)</f>
        <v>162.89629500000001</v>
      </c>
      <c r="D80" s="59"/>
      <c r="E80" s="63">
        <f t="shared" ref="E80" si="118">5*E78+E85</f>
        <v>88</v>
      </c>
      <c r="F80" s="63">
        <f>5*F78+F85</f>
        <v>165</v>
      </c>
      <c r="G80" s="142">
        <f t="shared" ref="G80:G83" si="119">G$85</f>
        <v>59.529404498953284</v>
      </c>
      <c r="H80" s="63">
        <f>F80-2*(E80+2)*COS(RADIANS(I80))</f>
        <v>30</v>
      </c>
      <c r="I80" s="140">
        <f>I$85</f>
        <v>41.409622109270856</v>
      </c>
      <c r="J80" s="9">
        <f>DEGREES(C80/(E80-6+2))</f>
        <v>111.11035954545257</v>
      </c>
      <c r="K80" s="9">
        <f t="shared" ref="K80:K90" si="120">J80-I80</f>
        <v>69.700737436181711</v>
      </c>
      <c r="L80" s="59"/>
      <c r="M80" s="69">
        <f t="shared" ref="M80:M84" si="121">K80-K$85</f>
        <v>0</v>
      </c>
      <c r="N80" s="69">
        <f t="shared" ref="N80:O84" si="122">I80-I$85</f>
        <v>0</v>
      </c>
      <c r="O80" s="9">
        <f t="shared" si="122"/>
        <v>0</v>
      </c>
      <c r="P80" s="62">
        <f t="shared" ref="P80:P84" si="123">((F80-H80)/2)*TAN(RADIANS(I80))</f>
        <v>59.529404498953284</v>
      </c>
      <c r="Q80" s="62">
        <f t="shared" ref="Q80:Q84" si="124">P$85-P80</f>
        <v>0</v>
      </c>
      <c r="R80" s="61">
        <f t="shared" ref="R80:R90" si="125">(E80+2)*SIN(RADIANS(K80))</f>
        <v>84.410405985170328</v>
      </c>
      <c r="S80" s="61">
        <f t="shared" ref="S80:S90" si="126">(F80/2)- (E80+2)*COS(RADIANS(K80))</f>
        <v>51.276877775937891</v>
      </c>
      <c r="T80" s="61">
        <f t="shared" ref="T80:T84" si="127">H80-H$85</f>
        <v>5</v>
      </c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59"/>
      <c r="AF80" s="59"/>
      <c r="AG80" s="61">
        <f>F80</f>
        <v>165</v>
      </c>
      <c r="AH80" s="61">
        <f t="shared" ref="AH80:AJ90" si="128">M80</f>
        <v>0</v>
      </c>
      <c r="AI80" s="61">
        <f t="shared" si="128"/>
        <v>0</v>
      </c>
      <c r="AJ80" s="61">
        <f>O80</f>
        <v>0</v>
      </c>
      <c r="AK80" s="61">
        <f>T80</f>
        <v>5</v>
      </c>
      <c r="AL80" s="59"/>
      <c r="AM80" s="134">
        <f t="shared" ref="AM80:AM84" si="129">AG80/AG$85-1</f>
        <v>3.125E-2</v>
      </c>
      <c r="AN80" s="135">
        <f t="shared" ref="AN80:AN84" si="130">K80/K$85-1</f>
        <v>0</v>
      </c>
      <c r="AO80" s="135">
        <f t="shared" ref="AO80:AP84" si="131">I80/I$85-1</f>
        <v>0</v>
      </c>
      <c r="AP80" s="135">
        <f t="shared" si="131"/>
        <v>0</v>
      </c>
      <c r="AQ80" s="134">
        <f t="shared" ref="AQ80:AQ84" si="132">(Q80+60)/(Q$85+60) -1</f>
        <v>0</v>
      </c>
    </row>
    <row r="81" spans="1:43">
      <c r="A81" s="15"/>
      <c r="B81" s="20">
        <f t="shared" si="116"/>
        <v>183</v>
      </c>
      <c r="C81" s="18">
        <f t="shared" si="117"/>
        <v>162.89629500000001</v>
      </c>
      <c r="D81" s="59"/>
      <c r="E81" s="63">
        <f t="shared" ref="E81" si="133">4*E78+E85</f>
        <v>88</v>
      </c>
      <c r="F81" s="63">
        <f>4*F78+F85</f>
        <v>164</v>
      </c>
      <c r="G81" s="142">
        <f t="shared" si="119"/>
        <v>59.529404498953284</v>
      </c>
      <c r="H81" s="63">
        <f>F81-2*(E81+2)*COS(RADIANS(I81))</f>
        <v>29</v>
      </c>
      <c r="I81" s="140">
        <f>I$85</f>
        <v>41.409622109270856</v>
      </c>
      <c r="J81" s="9">
        <f t="shared" ref="J81:J90" si="134">DEGREES(C81/(E81-6+2))</f>
        <v>111.11035954545257</v>
      </c>
      <c r="K81" s="9">
        <f t="shared" si="120"/>
        <v>69.700737436181711</v>
      </c>
      <c r="L81" s="59"/>
      <c r="M81" s="69">
        <f t="shared" si="121"/>
        <v>0</v>
      </c>
      <c r="N81" s="69">
        <f t="shared" si="122"/>
        <v>0</v>
      </c>
      <c r="O81" s="9">
        <f t="shared" si="122"/>
        <v>0</v>
      </c>
      <c r="P81" s="62">
        <f t="shared" si="123"/>
        <v>59.529404498953284</v>
      </c>
      <c r="Q81" s="62">
        <f t="shared" si="124"/>
        <v>0</v>
      </c>
      <c r="R81" s="61">
        <f t="shared" si="125"/>
        <v>84.410405985170328</v>
      </c>
      <c r="S81" s="61">
        <f t="shared" si="126"/>
        <v>50.776877775937891</v>
      </c>
      <c r="T81" s="61">
        <f t="shared" si="127"/>
        <v>4</v>
      </c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61">
        <f t="shared" ref="AG81:AG90" si="135">F81</f>
        <v>164</v>
      </c>
      <c r="AH81" s="61">
        <f t="shared" si="128"/>
        <v>0</v>
      </c>
      <c r="AI81" s="61">
        <f t="shared" si="128"/>
        <v>0</v>
      </c>
      <c r="AJ81" s="61">
        <f t="shared" si="128"/>
        <v>0</v>
      </c>
      <c r="AK81" s="61">
        <f t="shared" ref="AK81:AK90" si="136">T81</f>
        <v>4</v>
      </c>
      <c r="AL81" s="59"/>
      <c r="AM81" s="134">
        <f t="shared" si="129"/>
        <v>2.4999999999999911E-2</v>
      </c>
      <c r="AN81" s="135">
        <f t="shared" si="130"/>
        <v>0</v>
      </c>
      <c r="AO81" s="135">
        <f t="shared" si="131"/>
        <v>0</v>
      </c>
      <c r="AP81" s="135">
        <f t="shared" si="131"/>
        <v>0</v>
      </c>
      <c r="AQ81" s="134">
        <f t="shared" si="132"/>
        <v>0</v>
      </c>
    </row>
    <row r="82" spans="1:43">
      <c r="A82" s="15"/>
      <c r="B82" s="20">
        <f t="shared" si="116"/>
        <v>183</v>
      </c>
      <c r="C82" s="18">
        <f t="shared" si="117"/>
        <v>162.89629500000001</v>
      </c>
      <c r="D82" s="59"/>
      <c r="E82" s="63">
        <f>3*E78+E85</f>
        <v>88</v>
      </c>
      <c r="F82" s="63">
        <f>3*F78+F85</f>
        <v>163</v>
      </c>
      <c r="G82" s="142">
        <f t="shared" si="119"/>
        <v>59.529404498953284</v>
      </c>
      <c r="H82" s="63">
        <f>F82-2*(E82+2)*COS(RADIANS(I82))</f>
        <v>28</v>
      </c>
      <c r="I82" s="140">
        <f>I$85</f>
        <v>41.409622109270856</v>
      </c>
      <c r="J82" s="9">
        <f t="shared" si="134"/>
        <v>111.11035954545257</v>
      </c>
      <c r="K82" s="9">
        <f t="shared" si="120"/>
        <v>69.700737436181711</v>
      </c>
      <c r="L82" s="59"/>
      <c r="M82" s="69">
        <f t="shared" si="121"/>
        <v>0</v>
      </c>
      <c r="N82" s="69">
        <f t="shared" si="122"/>
        <v>0</v>
      </c>
      <c r="O82" s="9">
        <f t="shared" si="122"/>
        <v>0</v>
      </c>
      <c r="P82" s="62">
        <f t="shared" si="123"/>
        <v>59.529404498953284</v>
      </c>
      <c r="Q82" s="62">
        <f t="shared" si="124"/>
        <v>0</v>
      </c>
      <c r="R82" s="61">
        <f t="shared" si="125"/>
        <v>84.410405985170328</v>
      </c>
      <c r="S82" s="61">
        <f t="shared" si="126"/>
        <v>50.276877775937891</v>
      </c>
      <c r="T82" s="61">
        <f t="shared" si="127"/>
        <v>3</v>
      </c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  <c r="AG82" s="61">
        <f t="shared" si="135"/>
        <v>163</v>
      </c>
      <c r="AH82" s="61">
        <f t="shared" si="128"/>
        <v>0</v>
      </c>
      <c r="AI82" s="61">
        <f t="shared" si="128"/>
        <v>0</v>
      </c>
      <c r="AJ82" s="61">
        <f t="shared" si="128"/>
        <v>0</v>
      </c>
      <c r="AK82" s="61">
        <f t="shared" si="136"/>
        <v>3</v>
      </c>
      <c r="AL82" s="59"/>
      <c r="AM82" s="134">
        <f t="shared" si="129"/>
        <v>1.8750000000000044E-2</v>
      </c>
      <c r="AN82" s="135">
        <f t="shared" si="130"/>
        <v>0</v>
      </c>
      <c r="AO82" s="135">
        <f t="shared" si="131"/>
        <v>0</v>
      </c>
      <c r="AP82" s="135">
        <f t="shared" si="131"/>
        <v>0</v>
      </c>
      <c r="AQ82" s="134">
        <f t="shared" si="132"/>
        <v>0</v>
      </c>
    </row>
    <row r="83" spans="1:43">
      <c r="A83" s="15"/>
      <c r="B83" s="20">
        <f t="shared" si="116"/>
        <v>183</v>
      </c>
      <c r="C83" s="18">
        <f t="shared" si="117"/>
        <v>162.89629500000001</v>
      </c>
      <c r="D83" s="59"/>
      <c r="E83" s="63">
        <f t="shared" ref="E83" si="137">2*E78+E85</f>
        <v>88</v>
      </c>
      <c r="F83" s="63">
        <f>2*F78+F85</f>
        <v>162</v>
      </c>
      <c r="G83" s="142">
        <f t="shared" si="119"/>
        <v>59.529404498953284</v>
      </c>
      <c r="H83" s="63">
        <f>F83-2*(E83+2)*COS(RADIANS(I83))</f>
        <v>27</v>
      </c>
      <c r="I83" s="140">
        <f>I$85</f>
        <v>41.409622109270856</v>
      </c>
      <c r="J83" s="9">
        <f t="shared" si="134"/>
        <v>111.11035954545257</v>
      </c>
      <c r="K83" s="9">
        <f t="shared" si="120"/>
        <v>69.700737436181711</v>
      </c>
      <c r="L83" s="59"/>
      <c r="M83" s="69">
        <f t="shared" si="121"/>
        <v>0</v>
      </c>
      <c r="N83" s="69">
        <f t="shared" si="122"/>
        <v>0</v>
      </c>
      <c r="O83" s="9">
        <f t="shared" si="122"/>
        <v>0</v>
      </c>
      <c r="P83" s="62">
        <f t="shared" si="123"/>
        <v>59.529404498953284</v>
      </c>
      <c r="Q83" s="62">
        <f t="shared" si="124"/>
        <v>0</v>
      </c>
      <c r="R83" s="61">
        <f t="shared" si="125"/>
        <v>84.410405985170328</v>
      </c>
      <c r="S83" s="61">
        <f t="shared" si="126"/>
        <v>49.776877775937891</v>
      </c>
      <c r="T83" s="61">
        <f t="shared" si="127"/>
        <v>2</v>
      </c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59"/>
      <c r="AF83" s="59"/>
      <c r="AG83" s="61">
        <f t="shared" si="135"/>
        <v>162</v>
      </c>
      <c r="AH83" s="61">
        <f t="shared" si="128"/>
        <v>0</v>
      </c>
      <c r="AI83" s="61">
        <f t="shared" si="128"/>
        <v>0</v>
      </c>
      <c r="AJ83" s="61">
        <f t="shared" si="128"/>
        <v>0</v>
      </c>
      <c r="AK83" s="61">
        <f t="shared" si="136"/>
        <v>2</v>
      </c>
      <c r="AL83" s="59"/>
      <c r="AM83" s="134">
        <f t="shared" si="129"/>
        <v>1.2499999999999956E-2</v>
      </c>
      <c r="AN83" s="135">
        <f t="shared" si="130"/>
        <v>0</v>
      </c>
      <c r="AO83" s="135">
        <f t="shared" si="131"/>
        <v>0</v>
      </c>
      <c r="AP83" s="135">
        <f t="shared" si="131"/>
        <v>0</v>
      </c>
      <c r="AQ83" s="134">
        <f t="shared" si="132"/>
        <v>0</v>
      </c>
    </row>
    <row r="84" spans="1:43">
      <c r="A84" s="15"/>
      <c r="B84" s="20">
        <f>B$85</f>
        <v>183</v>
      </c>
      <c r="C84" s="18">
        <f t="shared" si="117"/>
        <v>162.89629500000001</v>
      </c>
      <c r="D84" s="59"/>
      <c r="E84" s="63">
        <f t="shared" ref="E84" si="138">E85+E78</f>
        <v>88</v>
      </c>
      <c r="F84" s="63">
        <f>F85+F78</f>
        <v>161</v>
      </c>
      <c r="G84" s="142">
        <f>G$85</f>
        <v>59.529404498953284</v>
      </c>
      <c r="H84" s="63">
        <f>F84-2*(E84+2)*COS(RADIANS(I84))</f>
        <v>26</v>
      </c>
      <c r="I84" s="140">
        <f>I$85</f>
        <v>41.409622109270856</v>
      </c>
      <c r="J84" s="9">
        <f t="shared" si="134"/>
        <v>111.11035954545257</v>
      </c>
      <c r="K84" s="9">
        <f t="shared" si="120"/>
        <v>69.700737436181711</v>
      </c>
      <c r="L84" s="59"/>
      <c r="M84" s="69">
        <f t="shared" si="121"/>
        <v>0</v>
      </c>
      <c r="N84" s="69">
        <f t="shared" si="122"/>
        <v>0</v>
      </c>
      <c r="O84" s="9">
        <f t="shared" si="122"/>
        <v>0</v>
      </c>
      <c r="P84" s="62">
        <f t="shared" si="123"/>
        <v>59.529404498953284</v>
      </c>
      <c r="Q84" s="62">
        <f t="shared" si="124"/>
        <v>0</v>
      </c>
      <c r="R84" s="61">
        <f t="shared" si="125"/>
        <v>84.410405985170328</v>
      </c>
      <c r="S84" s="61">
        <f t="shared" si="126"/>
        <v>49.276877775937891</v>
      </c>
      <c r="T84" s="61">
        <f t="shared" si="127"/>
        <v>1</v>
      </c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61">
        <f t="shared" si="135"/>
        <v>161</v>
      </c>
      <c r="AH84" s="61">
        <f t="shared" si="128"/>
        <v>0</v>
      </c>
      <c r="AI84" s="61">
        <f t="shared" si="128"/>
        <v>0</v>
      </c>
      <c r="AJ84" s="61">
        <f t="shared" si="128"/>
        <v>0</v>
      </c>
      <c r="AK84" s="61">
        <f t="shared" si="136"/>
        <v>1</v>
      </c>
      <c r="AL84" s="59"/>
      <c r="AM84" s="134">
        <f t="shared" si="129"/>
        <v>6.2500000000000888E-3</v>
      </c>
      <c r="AN84" s="135">
        <f t="shared" si="130"/>
        <v>0</v>
      </c>
      <c r="AO84" s="135">
        <f t="shared" si="131"/>
        <v>0</v>
      </c>
      <c r="AP84" s="135">
        <f t="shared" si="131"/>
        <v>0</v>
      </c>
      <c r="AQ84" s="134">
        <f t="shared" si="132"/>
        <v>0</v>
      </c>
    </row>
    <row r="85" spans="1:43">
      <c r="A85" s="15"/>
      <c r="B85" s="60">
        <v>183</v>
      </c>
      <c r="C85" s="18">
        <f>100*(0.297865*B85/100+1.08387)</f>
        <v>162.89629500000001</v>
      </c>
      <c r="D85" s="72">
        <v>25</v>
      </c>
      <c r="E85" s="72">
        <v>88</v>
      </c>
      <c r="F85" s="72">
        <v>160</v>
      </c>
      <c r="G85" s="142">
        <f>(F85-D85)/2*(TAN(ACOS((F85-D85)/2/(E85+2))))</f>
        <v>59.529404498953284</v>
      </c>
      <c r="H85" s="124">
        <f>D85</f>
        <v>25</v>
      </c>
      <c r="I85" s="9">
        <f>DEGREES(ACOS((F85-D85)/2/(E85+2)))</f>
        <v>41.409622109270856</v>
      </c>
      <c r="J85" s="9">
        <f t="shared" si="134"/>
        <v>111.11035954545257</v>
      </c>
      <c r="K85" s="9">
        <f t="shared" si="120"/>
        <v>69.700737436181711</v>
      </c>
      <c r="L85" s="59"/>
      <c r="M85" s="69">
        <f>K85-K$85</f>
        <v>0</v>
      </c>
      <c r="N85" s="69">
        <f>I85-I$85</f>
        <v>0</v>
      </c>
      <c r="O85" s="9">
        <f>J85-J$85</f>
        <v>0</v>
      </c>
      <c r="P85" s="62">
        <f>((F85-H85)/2)*TAN(RADIANS(I85))</f>
        <v>59.529404498953284</v>
      </c>
      <c r="Q85" s="62">
        <f>P$85-P85</f>
        <v>0</v>
      </c>
      <c r="R85" s="61">
        <f t="shared" si="125"/>
        <v>84.410405985170328</v>
      </c>
      <c r="S85" s="61">
        <f t="shared" si="126"/>
        <v>48.776877775937891</v>
      </c>
      <c r="T85" s="61">
        <f>H85-H$85</f>
        <v>0</v>
      </c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59"/>
      <c r="AF85" s="59"/>
      <c r="AG85" s="61">
        <f t="shared" si="135"/>
        <v>160</v>
      </c>
      <c r="AH85" s="61">
        <f t="shared" si="128"/>
        <v>0</v>
      </c>
      <c r="AI85" s="61">
        <f t="shared" si="128"/>
        <v>0</v>
      </c>
      <c r="AJ85" s="61">
        <f t="shared" si="128"/>
        <v>0</v>
      </c>
      <c r="AK85" s="61">
        <f t="shared" si="136"/>
        <v>0</v>
      </c>
      <c r="AL85" s="59"/>
      <c r="AM85" s="134">
        <f>AG85/AG$85-1</f>
        <v>0</v>
      </c>
      <c r="AN85" s="135">
        <f>K85/K$85-1</f>
        <v>0</v>
      </c>
      <c r="AO85" s="135">
        <f>I85/I$85-1</f>
        <v>0</v>
      </c>
      <c r="AP85" s="135">
        <f>J85/J$85-1</f>
        <v>0</v>
      </c>
      <c r="AQ85" s="134">
        <f>(Q85+60)/(Q$85+60) -1</f>
        <v>0</v>
      </c>
    </row>
    <row r="86" spans="1:43">
      <c r="A86" s="15"/>
      <c r="B86" s="20">
        <f t="shared" ref="B86:B89" si="139">B$85</f>
        <v>183</v>
      </c>
      <c r="C86" s="18">
        <f t="shared" ref="C86:C90" si="140">100*(0.297865*B86/100+1.08387)</f>
        <v>162.89629500000001</v>
      </c>
      <c r="D86" s="59"/>
      <c r="E86" s="63">
        <f t="shared" ref="E86" si="141">E85-E78</f>
        <v>88</v>
      </c>
      <c r="F86" s="63">
        <f>F85-F78</f>
        <v>159</v>
      </c>
      <c r="G86" s="142">
        <f>G$85</f>
        <v>59.529404498953284</v>
      </c>
      <c r="H86" s="63">
        <f>F86-2*(E86+2)*COS(RADIANS(I86))</f>
        <v>24</v>
      </c>
      <c r="I86" s="140">
        <f>I$85</f>
        <v>41.409622109270856</v>
      </c>
      <c r="J86" s="9">
        <f t="shared" si="134"/>
        <v>111.11035954545257</v>
      </c>
      <c r="K86" s="9">
        <f t="shared" si="120"/>
        <v>69.700737436181711</v>
      </c>
      <c r="L86" s="59"/>
      <c r="M86" s="69">
        <f t="shared" ref="M86:M90" si="142">K86-K$85</f>
        <v>0</v>
      </c>
      <c r="N86" s="69">
        <f t="shared" ref="N86:O90" si="143">I86-I$85</f>
        <v>0</v>
      </c>
      <c r="O86" s="9">
        <f t="shared" si="143"/>
        <v>0</v>
      </c>
      <c r="P86" s="62">
        <f t="shared" ref="P86:P90" si="144">((F86-H86)/2)*TAN(RADIANS(I86))</f>
        <v>59.529404498953284</v>
      </c>
      <c r="Q86" s="62">
        <f t="shared" ref="Q86:Q90" si="145">P$85-P86</f>
        <v>0</v>
      </c>
      <c r="R86" s="61">
        <f t="shared" si="125"/>
        <v>84.410405985170328</v>
      </c>
      <c r="S86" s="61">
        <f t="shared" si="126"/>
        <v>48.276877775937891</v>
      </c>
      <c r="T86" s="61">
        <f t="shared" ref="T86:T90" si="146">H86-H$85</f>
        <v>-1</v>
      </c>
      <c r="U86" s="59"/>
      <c r="V86" s="59"/>
      <c r="W86" s="59"/>
      <c r="X86" s="59"/>
      <c r="Y86" s="59"/>
      <c r="Z86" s="59"/>
      <c r="AA86" s="59"/>
      <c r="AB86" s="59"/>
      <c r="AC86" s="59"/>
      <c r="AD86" s="59"/>
      <c r="AE86" s="59"/>
      <c r="AF86" s="59"/>
      <c r="AG86" s="61">
        <f t="shared" si="135"/>
        <v>159</v>
      </c>
      <c r="AH86" s="61">
        <f t="shared" si="128"/>
        <v>0</v>
      </c>
      <c r="AI86" s="61">
        <f t="shared" si="128"/>
        <v>0</v>
      </c>
      <c r="AJ86" s="61">
        <f t="shared" si="128"/>
        <v>0</v>
      </c>
      <c r="AK86" s="61">
        <f t="shared" si="136"/>
        <v>-1</v>
      </c>
      <c r="AL86" s="59"/>
      <c r="AM86" s="134">
        <f t="shared" ref="AM86:AM90" si="147">AG86/AG$85-1</f>
        <v>-6.2499999999999778E-3</v>
      </c>
      <c r="AN86" s="135">
        <f t="shared" ref="AN86:AN90" si="148">K86/K$85-1</f>
        <v>0</v>
      </c>
      <c r="AO86" s="135">
        <f t="shared" ref="AO86:AP90" si="149">I86/I$85-1</f>
        <v>0</v>
      </c>
      <c r="AP86" s="135">
        <f t="shared" si="149"/>
        <v>0</v>
      </c>
      <c r="AQ86" s="134">
        <f t="shared" ref="AQ86:AQ90" si="150">(Q86+60)/(Q$85+60) -1</f>
        <v>0</v>
      </c>
    </row>
    <row r="87" spans="1:43">
      <c r="A87" s="15"/>
      <c r="B87" s="20">
        <f t="shared" si="139"/>
        <v>183</v>
      </c>
      <c r="C87" s="18">
        <f t="shared" si="140"/>
        <v>162.89629500000001</v>
      </c>
      <c r="D87" s="59"/>
      <c r="E87" s="63">
        <f t="shared" ref="E87" si="151">E85-2*E78</f>
        <v>88</v>
      </c>
      <c r="F87" s="63">
        <f>F85-2*F78</f>
        <v>158</v>
      </c>
      <c r="G87" s="142">
        <f t="shared" ref="G87:G90" si="152">G$85</f>
        <v>59.529404498953284</v>
      </c>
      <c r="H87" s="63">
        <f>F87-2*(E87+2)*COS(RADIANS(I87))</f>
        <v>23</v>
      </c>
      <c r="I87" s="140">
        <f>I$85</f>
        <v>41.409622109270856</v>
      </c>
      <c r="J87" s="9">
        <f t="shared" si="134"/>
        <v>111.11035954545257</v>
      </c>
      <c r="K87" s="9">
        <f t="shared" si="120"/>
        <v>69.700737436181711</v>
      </c>
      <c r="L87" s="59"/>
      <c r="M87" s="69">
        <f t="shared" si="142"/>
        <v>0</v>
      </c>
      <c r="N87" s="69">
        <f t="shared" si="143"/>
        <v>0</v>
      </c>
      <c r="O87" s="9">
        <f t="shared" si="143"/>
        <v>0</v>
      </c>
      <c r="P87" s="62">
        <f t="shared" si="144"/>
        <v>59.529404498953284</v>
      </c>
      <c r="Q87" s="62">
        <f t="shared" si="145"/>
        <v>0</v>
      </c>
      <c r="R87" s="61">
        <f t="shared" si="125"/>
        <v>84.410405985170328</v>
      </c>
      <c r="S87" s="61">
        <f t="shared" si="126"/>
        <v>47.776877775937891</v>
      </c>
      <c r="T87" s="61">
        <f t="shared" si="146"/>
        <v>-2</v>
      </c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  <c r="AG87" s="61">
        <f t="shared" si="135"/>
        <v>158</v>
      </c>
      <c r="AH87" s="61">
        <f t="shared" si="128"/>
        <v>0</v>
      </c>
      <c r="AI87" s="61">
        <f t="shared" si="128"/>
        <v>0</v>
      </c>
      <c r="AJ87" s="61">
        <f t="shared" si="128"/>
        <v>0</v>
      </c>
      <c r="AK87" s="61">
        <f t="shared" si="136"/>
        <v>-2</v>
      </c>
      <c r="AL87" s="59"/>
      <c r="AM87" s="134">
        <f t="shared" si="147"/>
        <v>-1.2499999999999956E-2</v>
      </c>
      <c r="AN87" s="135">
        <f t="shared" si="148"/>
        <v>0</v>
      </c>
      <c r="AO87" s="135">
        <f t="shared" si="149"/>
        <v>0</v>
      </c>
      <c r="AP87" s="135">
        <f t="shared" si="149"/>
        <v>0</v>
      </c>
      <c r="AQ87" s="134">
        <f t="shared" si="150"/>
        <v>0</v>
      </c>
    </row>
    <row r="88" spans="1:43">
      <c r="A88" s="15"/>
      <c r="B88" s="20">
        <f t="shared" si="139"/>
        <v>183</v>
      </c>
      <c r="C88" s="18">
        <f t="shared" si="140"/>
        <v>162.89629500000001</v>
      </c>
      <c r="D88" s="59"/>
      <c r="E88" s="63">
        <f t="shared" ref="E88" si="153">E85-3*E78</f>
        <v>88</v>
      </c>
      <c r="F88" s="63">
        <f>F85-3*F78</f>
        <v>157</v>
      </c>
      <c r="G88" s="142">
        <f t="shared" si="152"/>
        <v>59.529404498953284</v>
      </c>
      <c r="H88" s="63">
        <f>F88-2*(E88+2)*COS(RADIANS(I88))</f>
        <v>22</v>
      </c>
      <c r="I88" s="140">
        <f>I$85</f>
        <v>41.409622109270856</v>
      </c>
      <c r="J88" s="9">
        <f t="shared" si="134"/>
        <v>111.11035954545257</v>
      </c>
      <c r="K88" s="9">
        <f t="shared" si="120"/>
        <v>69.700737436181711</v>
      </c>
      <c r="L88" s="59"/>
      <c r="M88" s="69">
        <f t="shared" si="142"/>
        <v>0</v>
      </c>
      <c r="N88" s="69">
        <f t="shared" si="143"/>
        <v>0</v>
      </c>
      <c r="O88" s="9">
        <f t="shared" si="143"/>
        <v>0</v>
      </c>
      <c r="P88" s="62">
        <f t="shared" si="144"/>
        <v>59.529404498953284</v>
      </c>
      <c r="Q88" s="62">
        <f t="shared" si="145"/>
        <v>0</v>
      </c>
      <c r="R88" s="61">
        <f t="shared" si="125"/>
        <v>84.410405985170328</v>
      </c>
      <c r="S88" s="61">
        <f t="shared" si="126"/>
        <v>47.276877775937891</v>
      </c>
      <c r="T88" s="61">
        <f t="shared" si="146"/>
        <v>-3</v>
      </c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59"/>
      <c r="AF88" s="59"/>
      <c r="AG88" s="61">
        <f t="shared" si="135"/>
        <v>157</v>
      </c>
      <c r="AH88" s="61">
        <f t="shared" si="128"/>
        <v>0</v>
      </c>
      <c r="AI88" s="61">
        <f t="shared" si="128"/>
        <v>0</v>
      </c>
      <c r="AJ88" s="61">
        <f t="shared" si="128"/>
        <v>0</v>
      </c>
      <c r="AK88" s="61">
        <f t="shared" si="136"/>
        <v>-3</v>
      </c>
      <c r="AL88" s="59"/>
      <c r="AM88" s="134">
        <f t="shared" si="147"/>
        <v>-1.8750000000000044E-2</v>
      </c>
      <c r="AN88" s="135">
        <f t="shared" si="148"/>
        <v>0</v>
      </c>
      <c r="AO88" s="135">
        <f t="shared" si="149"/>
        <v>0</v>
      </c>
      <c r="AP88" s="135">
        <f t="shared" si="149"/>
        <v>0</v>
      </c>
      <c r="AQ88" s="134">
        <f t="shared" si="150"/>
        <v>0</v>
      </c>
    </row>
    <row r="89" spans="1:43">
      <c r="A89" s="15"/>
      <c r="B89" s="20">
        <f t="shared" si="139"/>
        <v>183</v>
      </c>
      <c r="C89" s="18">
        <f t="shared" si="140"/>
        <v>162.89629500000001</v>
      </c>
      <c r="D89" s="59"/>
      <c r="E89" s="63">
        <f t="shared" ref="E89" si="154">E85-4*E78</f>
        <v>88</v>
      </c>
      <c r="F89" s="63">
        <f>F85-4*F78</f>
        <v>156</v>
      </c>
      <c r="G89" s="142">
        <f t="shared" si="152"/>
        <v>59.529404498953284</v>
      </c>
      <c r="H89" s="63">
        <f>F89-2*(E89+2)*COS(RADIANS(I89))</f>
        <v>21</v>
      </c>
      <c r="I89" s="140">
        <f>I$85</f>
        <v>41.409622109270856</v>
      </c>
      <c r="J89" s="9">
        <f t="shared" si="134"/>
        <v>111.11035954545257</v>
      </c>
      <c r="K89" s="9">
        <f t="shared" si="120"/>
        <v>69.700737436181711</v>
      </c>
      <c r="L89" s="59"/>
      <c r="M89" s="69">
        <f t="shared" si="142"/>
        <v>0</v>
      </c>
      <c r="N89" s="69">
        <f t="shared" si="143"/>
        <v>0</v>
      </c>
      <c r="O89" s="9">
        <f t="shared" si="143"/>
        <v>0</v>
      </c>
      <c r="P89" s="62">
        <f t="shared" si="144"/>
        <v>59.529404498953284</v>
      </c>
      <c r="Q89" s="62">
        <f t="shared" si="145"/>
        <v>0</v>
      </c>
      <c r="R89" s="61">
        <f t="shared" si="125"/>
        <v>84.410405985170328</v>
      </c>
      <c r="S89" s="61">
        <f t="shared" si="126"/>
        <v>46.776877775937891</v>
      </c>
      <c r="T89" s="61">
        <f t="shared" si="146"/>
        <v>-4</v>
      </c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59"/>
      <c r="AF89" s="59"/>
      <c r="AG89" s="61">
        <f t="shared" si="135"/>
        <v>156</v>
      </c>
      <c r="AH89" s="61">
        <f t="shared" si="128"/>
        <v>0</v>
      </c>
      <c r="AI89" s="61">
        <f t="shared" si="128"/>
        <v>0</v>
      </c>
      <c r="AJ89" s="61">
        <f t="shared" si="128"/>
        <v>0</v>
      </c>
      <c r="AK89" s="61">
        <f t="shared" si="136"/>
        <v>-4</v>
      </c>
      <c r="AL89" s="59"/>
      <c r="AM89" s="134">
        <f t="shared" si="147"/>
        <v>-2.5000000000000022E-2</v>
      </c>
      <c r="AN89" s="135">
        <f t="shared" si="148"/>
        <v>0</v>
      </c>
      <c r="AO89" s="135">
        <f t="shared" si="149"/>
        <v>0</v>
      </c>
      <c r="AP89" s="135">
        <f t="shared" si="149"/>
        <v>0</v>
      </c>
      <c r="AQ89" s="134">
        <f t="shared" si="150"/>
        <v>0</v>
      </c>
    </row>
    <row r="90" spans="1:43">
      <c r="A90" s="15"/>
      <c r="B90" s="20">
        <f>B$85</f>
        <v>183</v>
      </c>
      <c r="C90" s="18">
        <f t="shared" si="140"/>
        <v>162.89629500000001</v>
      </c>
      <c r="D90" s="59"/>
      <c r="E90" s="63">
        <f t="shared" ref="E90" si="155">E85-5*E78</f>
        <v>88</v>
      </c>
      <c r="F90" s="63">
        <f>F85-5*F78</f>
        <v>155</v>
      </c>
      <c r="G90" s="142">
        <f t="shared" si="152"/>
        <v>59.529404498953284</v>
      </c>
      <c r="H90" s="63">
        <f>F90-2*(E90+2)*COS(RADIANS(I90))</f>
        <v>20</v>
      </c>
      <c r="I90" s="140">
        <f>I$85</f>
        <v>41.409622109270856</v>
      </c>
      <c r="J90" s="9">
        <f t="shared" si="134"/>
        <v>111.11035954545257</v>
      </c>
      <c r="K90" s="9">
        <f t="shared" si="120"/>
        <v>69.700737436181711</v>
      </c>
      <c r="L90" s="59"/>
      <c r="M90" s="69">
        <f t="shared" si="142"/>
        <v>0</v>
      </c>
      <c r="N90" s="69">
        <f t="shared" si="143"/>
        <v>0</v>
      </c>
      <c r="O90" s="9">
        <f t="shared" si="143"/>
        <v>0</v>
      </c>
      <c r="P90" s="62">
        <f t="shared" si="144"/>
        <v>59.529404498953284</v>
      </c>
      <c r="Q90" s="62">
        <f t="shared" si="145"/>
        <v>0</v>
      </c>
      <c r="R90" s="61">
        <f t="shared" si="125"/>
        <v>84.410405985170328</v>
      </c>
      <c r="S90" s="61">
        <f t="shared" si="126"/>
        <v>46.276877775937891</v>
      </c>
      <c r="T90" s="61">
        <f t="shared" si="146"/>
        <v>-5</v>
      </c>
      <c r="U90" s="59"/>
      <c r="V90" s="59"/>
      <c r="W90" s="59"/>
      <c r="X90" s="59"/>
      <c r="Y90" s="59"/>
      <c r="Z90" s="59"/>
      <c r="AA90" s="59"/>
      <c r="AB90" s="59"/>
      <c r="AC90" s="59"/>
      <c r="AD90" s="59"/>
      <c r="AE90" s="59"/>
      <c r="AF90" s="59"/>
      <c r="AG90" s="61">
        <f t="shared" si="135"/>
        <v>155</v>
      </c>
      <c r="AH90" s="61">
        <f t="shared" si="128"/>
        <v>0</v>
      </c>
      <c r="AI90" s="61">
        <f t="shared" si="128"/>
        <v>0</v>
      </c>
      <c r="AJ90" s="61">
        <f t="shared" si="128"/>
        <v>0</v>
      </c>
      <c r="AK90" s="61">
        <f t="shared" si="136"/>
        <v>-5</v>
      </c>
      <c r="AL90" s="59"/>
      <c r="AM90" s="134">
        <f t="shared" si="147"/>
        <v>-3.125E-2</v>
      </c>
      <c r="AN90" s="135">
        <f t="shared" si="148"/>
        <v>0</v>
      </c>
      <c r="AO90" s="135">
        <f t="shared" si="149"/>
        <v>0</v>
      </c>
      <c r="AP90" s="135">
        <f t="shared" si="149"/>
        <v>0</v>
      </c>
      <c r="AQ90" s="134">
        <f t="shared" si="150"/>
        <v>0</v>
      </c>
    </row>
    <row r="91" spans="1:43">
      <c r="A91" s="15"/>
      <c r="B91" s="20"/>
      <c r="C91" s="18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59"/>
      <c r="AG91" s="124"/>
      <c r="AH91" s="144"/>
      <c r="AI91" s="144"/>
      <c r="AJ91" s="124"/>
      <c r="AK91" s="124"/>
      <c r="AL91" s="59"/>
      <c r="AM91" s="12"/>
      <c r="AN91" s="12"/>
      <c r="AO91" s="12"/>
      <c r="AP91" s="12"/>
      <c r="AQ91" s="12"/>
    </row>
    <row r="92" spans="1:43" ht="18.75">
      <c r="A92" s="15" t="s">
        <v>39</v>
      </c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59"/>
      <c r="AF92" s="59"/>
      <c r="AG92" s="127"/>
      <c r="AH92" s="126"/>
      <c r="AI92" s="126"/>
      <c r="AJ92" s="126"/>
      <c r="AK92" s="59"/>
      <c r="AL92" s="59"/>
      <c r="AM92" s="59"/>
      <c r="AN92" s="59"/>
      <c r="AO92" s="59"/>
      <c r="AP92" s="59"/>
      <c r="AQ92" s="59"/>
    </row>
    <row r="93" spans="1:43">
      <c r="A93" s="20"/>
      <c r="B93" s="20"/>
      <c r="C93" s="20"/>
      <c r="D93" s="20"/>
      <c r="E93" s="20"/>
      <c r="F93" s="20"/>
      <c r="G93" s="59"/>
      <c r="H93" s="59"/>
      <c r="I93" s="59"/>
      <c r="J93" s="59"/>
      <c r="K93" s="59"/>
      <c r="L93" s="59"/>
      <c r="M93" s="236" t="s">
        <v>14</v>
      </c>
      <c r="N93" s="237"/>
      <c r="O93" s="59"/>
      <c r="P93" s="59"/>
      <c r="Q93" s="59"/>
      <c r="R93" s="59"/>
      <c r="S93" s="59"/>
      <c r="T93" s="59"/>
      <c r="U93" s="59"/>
      <c r="V93" s="5"/>
      <c r="W93" s="59"/>
      <c r="X93" s="59"/>
      <c r="Y93" s="59"/>
      <c r="Z93" s="59"/>
      <c r="AA93" s="59"/>
      <c r="AB93" s="59"/>
      <c r="AC93" s="59"/>
      <c r="AD93" s="59"/>
      <c r="AE93" s="59"/>
      <c r="AF93" s="59"/>
      <c r="AG93" s="127"/>
      <c r="AH93" s="126"/>
      <c r="AI93" s="126"/>
      <c r="AJ93" s="126"/>
      <c r="AK93" s="59"/>
      <c r="AL93" s="59"/>
      <c r="AM93" s="59"/>
      <c r="AN93" s="59"/>
      <c r="AO93" s="59"/>
      <c r="AP93" s="59"/>
      <c r="AQ93" s="59"/>
    </row>
    <row r="94" spans="1:43" ht="136.5">
      <c r="A94" s="27"/>
      <c r="B94" s="28" t="s">
        <v>12</v>
      </c>
      <c r="C94" s="28" t="s">
        <v>8</v>
      </c>
      <c r="D94" s="65" t="s">
        <v>42</v>
      </c>
      <c r="E94" s="28" t="s">
        <v>3</v>
      </c>
      <c r="F94" s="28" t="s">
        <v>4</v>
      </c>
      <c r="G94" s="28" t="s">
        <v>41</v>
      </c>
      <c r="H94" s="66" t="s">
        <v>1</v>
      </c>
      <c r="I94" s="55" t="s">
        <v>80</v>
      </c>
      <c r="J94" s="66" t="s">
        <v>6</v>
      </c>
      <c r="K94" s="66" t="s">
        <v>5</v>
      </c>
      <c r="L94" s="31" t="s">
        <v>49</v>
      </c>
      <c r="M94" s="31" t="s">
        <v>9</v>
      </c>
      <c r="N94" s="28" t="s">
        <v>18</v>
      </c>
      <c r="O94" s="28" t="s">
        <v>19</v>
      </c>
      <c r="P94" s="32" t="s">
        <v>25</v>
      </c>
      <c r="Q94" s="28" t="s">
        <v>27</v>
      </c>
      <c r="R94" s="67" t="s">
        <v>26</v>
      </c>
      <c r="S94" s="28" t="s">
        <v>28</v>
      </c>
      <c r="T94" s="28" t="s">
        <v>33</v>
      </c>
      <c r="U94" s="28" t="s">
        <v>34</v>
      </c>
      <c r="V94" s="28" t="s">
        <v>30</v>
      </c>
      <c r="W94" s="28" t="s">
        <v>43</v>
      </c>
      <c r="X94" s="65" t="s">
        <v>29</v>
      </c>
      <c r="Y94" s="28" t="s">
        <v>32</v>
      </c>
      <c r="Z94" s="66" t="s">
        <v>31</v>
      </c>
      <c r="AA94" s="66" t="s">
        <v>35</v>
      </c>
      <c r="AB94" s="28" t="s">
        <v>36</v>
      </c>
      <c r="AC94" s="66" t="s">
        <v>37</v>
      </c>
      <c r="AD94" s="66" t="s">
        <v>48</v>
      </c>
      <c r="AE94" s="68" t="s">
        <v>38</v>
      </c>
      <c r="AF94" s="35"/>
      <c r="AG94" s="28" t="str">
        <f>F94</f>
        <v>span (cm)</v>
      </c>
      <c r="AH94" s="28" t="s">
        <v>113</v>
      </c>
      <c r="AI94" s="28" t="s">
        <v>114</v>
      </c>
      <c r="AJ94" s="28" t="s">
        <v>115</v>
      </c>
      <c r="AK94" s="28" t="str">
        <f>AK79</f>
        <v>change in distance between handles (cm / cm)</v>
      </c>
      <c r="AL94" s="35"/>
      <c r="AM94" s="28" t="str">
        <f>AG94</f>
        <v>span (cm)</v>
      </c>
      <c r="AN94" s="28" t="str">
        <f t="shared" ref="AN94:AQ94" si="156">AH94</f>
        <v>Change in catch angle (deg)</v>
      </c>
      <c r="AO94" s="28" t="str">
        <f t="shared" si="156"/>
        <v>Change in finish angle (deg)</v>
      </c>
      <c r="AP94" s="28" t="str">
        <f t="shared" si="156"/>
        <v>Change in sweep angle (deg)</v>
      </c>
      <c r="AQ94" s="28" t="str">
        <f t="shared" si="156"/>
        <v>change in distance between handles (cm / cm)</v>
      </c>
    </row>
    <row r="95" spans="1:43">
      <c r="A95" s="5"/>
      <c r="B95" s="20">
        <f>B80</f>
        <v>183</v>
      </c>
      <c r="C95" s="18">
        <f t="shared" ref="C95:C99" si="157">100*(0.297865*B95/100+1.08387)</f>
        <v>162.89629500000001</v>
      </c>
      <c r="D95" s="63">
        <f>H80</f>
        <v>30</v>
      </c>
      <c r="E95" s="63">
        <f>E80</f>
        <v>88</v>
      </c>
      <c r="F95" s="63">
        <f>F80</f>
        <v>165</v>
      </c>
      <c r="G95" s="63">
        <f t="shared" ref="G95:G99" si="158">(E95+2)*2 -F95</f>
        <v>15</v>
      </c>
      <c r="H95" s="69">
        <f t="shared" ref="H95:H99" si="159">H$100</f>
        <v>41.409622109270856</v>
      </c>
      <c r="I95" s="69">
        <f>H95-H$100</f>
        <v>0</v>
      </c>
      <c r="J95" s="61"/>
      <c r="K95" s="63"/>
      <c r="L95" s="63">
        <f t="shared" ref="L95:L99" si="160">L$100</f>
        <v>59.529404498953284</v>
      </c>
      <c r="M95" s="41">
        <f t="shared" ref="M95:M99" si="161">L95-L$100</f>
        <v>0</v>
      </c>
      <c r="N95" s="61"/>
      <c r="O95" s="61"/>
      <c r="P95" s="23">
        <f>P$100</f>
        <v>1.1000000000000001</v>
      </c>
      <c r="Q95" s="20">
        <f t="shared" ref="Q95:Q105" si="162">B95 *P95</f>
        <v>201.3</v>
      </c>
      <c r="R95" s="23">
        <f>R$100</f>
        <v>0.3</v>
      </c>
      <c r="S95" s="61">
        <f>Q95*R95</f>
        <v>60.39</v>
      </c>
      <c r="T95" s="61">
        <f>S95/2</f>
        <v>30.195</v>
      </c>
      <c r="U95" s="61">
        <f t="shared" ref="U95:U105" si="163">F95/2 -S95/2</f>
        <v>52.305</v>
      </c>
      <c r="V95" s="61"/>
      <c r="W95" s="61">
        <f t="shared" ref="W95:W99" si="164">COS(RADIANS(17))*((Q95-S95)/2 -8)</f>
        <v>59.726013533671392</v>
      </c>
      <c r="X95" s="63">
        <f t="shared" ref="X95:X98" si="165">X$100 -M95</f>
        <v>27.648530479295758</v>
      </c>
      <c r="Y95" s="61">
        <f>SQRT(X95*X95+U95*U95)</f>
        <v>59.162946703697465</v>
      </c>
      <c r="Z95" s="9">
        <f>DEGREES(ASIN(X95/Y95))</f>
        <v>27.861022237759933</v>
      </c>
      <c r="AA95" s="9">
        <f t="shared" ref="AA95:AA105" si="166">DEGREES(ACOS(((E95+2)*(E95+2)+(Y95*Y95)-(W95*W95))/(2*(E95+2)*(Y95))))</f>
        <v>41.033563769216045</v>
      </c>
      <c r="AB95" s="4">
        <f t="shared" ref="AB95:AB105" si="167">Z95+AA95</f>
        <v>68.89458600697597</v>
      </c>
      <c r="AC95" s="69">
        <f t="shared" ref="AC95:AC99" si="168">AB95-AB$100</f>
        <v>-0.80615142920575522</v>
      </c>
      <c r="AD95" s="69">
        <f>AB95+H95</f>
        <v>110.30420811624683</v>
      </c>
      <c r="AE95" s="64">
        <f t="shared" ref="AE95:AE99" si="169">H95+AB95-J$100</f>
        <v>-0.80615142920574101</v>
      </c>
      <c r="AF95" s="124"/>
      <c r="AG95" s="128">
        <f>F95</f>
        <v>165</v>
      </c>
      <c r="AH95" s="128">
        <f t="shared" ref="AH95:AH105" si="170">AC95</f>
        <v>-0.80615142920575522</v>
      </c>
      <c r="AI95" s="128">
        <f t="shared" ref="AI95:AI105" si="171">I95</f>
        <v>0</v>
      </c>
      <c r="AJ95" s="128">
        <f t="shared" ref="AJ95:AJ105" si="172">AE95</f>
        <v>-0.80615142920574101</v>
      </c>
      <c r="AK95" s="61">
        <f>T80</f>
        <v>5</v>
      </c>
      <c r="AL95" s="124"/>
      <c r="AM95" s="134">
        <f t="shared" ref="AM95:AM99" si="173">AG95/AG$100-1</f>
        <v>3.125E-2</v>
      </c>
      <c r="AN95" s="135">
        <f t="shared" ref="AN95:AN99" si="174">AB95/AB$100-1</f>
        <v>-1.1565895266802184E-2</v>
      </c>
      <c r="AO95" s="135">
        <f t="shared" ref="AO95:AO99" si="175">H95/H$100-1</f>
        <v>0</v>
      </c>
      <c r="AP95" s="134">
        <f t="shared" ref="AP95:AP99" si="176">AD95/AD$100-1</f>
        <v>-7.2554119391178284E-3</v>
      </c>
      <c r="AQ95" s="134">
        <f>(Q95+60)/(Q$100+60) -1</f>
        <v>0</v>
      </c>
    </row>
    <row r="96" spans="1:43">
      <c r="A96" s="59"/>
      <c r="B96" s="20">
        <f t="shared" ref="B96:B105" si="177">B81</f>
        <v>183</v>
      </c>
      <c r="C96" s="18">
        <f t="shared" si="157"/>
        <v>162.89629500000001</v>
      </c>
      <c r="D96" s="63">
        <f t="shared" ref="D96:D105" si="178">H81</f>
        <v>29</v>
      </c>
      <c r="E96" s="63">
        <f t="shared" ref="E96:F105" si="179">E81</f>
        <v>88</v>
      </c>
      <c r="F96" s="63">
        <f t="shared" si="179"/>
        <v>164</v>
      </c>
      <c r="G96" s="63">
        <f t="shared" si="158"/>
        <v>16</v>
      </c>
      <c r="H96" s="69">
        <f t="shared" si="159"/>
        <v>41.409622109270856</v>
      </c>
      <c r="I96" s="69">
        <f t="shared" ref="I96:I105" si="180">H96-H$100</f>
        <v>0</v>
      </c>
      <c r="J96" s="61"/>
      <c r="K96" s="63"/>
      <c r="L96" s="63">
        <f t="shared" si="160"/>
        <v>59.529404498953284</v>
      </c>
      <c r="M96" s="41">
        <f t="shared" si="161"/>
        <v>0</v>
      </c>
      <c r="N96" s="61"/>
      <c r="O96" s="61"/>
      <c r="P96" s="23">
        <f>P$100</f>
        <v>1.1000000000000001</v>
      </c>
      <c r="Q96" s="20">
        <f t="shared" si="162"/>
        <v>201.3</v>
      </c>
      <c r="R96" s="23">
        <f>R$100</f>
        <v>0.3</v>
      </c>
      <c r="S96" s="61">
        <f>Q96*R96</f>
        <v>60.39</v>
      </c>
      <c r="T96" s="61">
        <f>S96/2</f>
        <v>30.195</v>
      </c>
      <c r="U96" s="61">
        <f t="shared" si="163"/>
        <v>51.805</v>
      </c>
      <c r="V96" s="61"/>
      <c r="W96" s="61">
        <f t="shared" si="164"/>
        <v>59.726013533671392</v>
      </c>
      <c r="X96" s="63">
        <f t="shared" si="165"/>
        <v>27.648530479295758</v>
      </c>
      <c r="Y96" s="61">
        <f>SQRT(X96*X96+U96*U96)</f>
        <v>58.721369727421603</v>
      </c>
      <c r="Z96" s="9">
        <f>DEGREES(ASIN(X96/Y96))</f>
        <v>28.089014371155667</v>
      </c>
      <c r="AA96" s="9">
        <f t="shared" si="166"/>
        <v>40.968277490068203</v>
      </c>
      <c r="AB96" s="4">
        <f t="shared" si="167"/>
        <v>69.057291861223874</v>
      </c>
      <c r="AC96" s="69">
        <f t="shared" si="168"/>
        <v>-0.64344557495785182</v>
      </c>
      <c r="AD96" s="69">
        <f t="shared" ref="AD96:AD105" si="181">AB96+H96</f>
        <v>110.46691397049473</v>
      </c>
      <c r="AE96" s="64">
        <f t="shared" si="169"/>
        <v>-0.64344557495783761</v>
      </c>
      <c r="AF96" s="59"/>
      <c r="AG96" s="128">
        <f t="shared" ref="AG96:AG105" si="182">F96</f>
        <v>164</v>
      </c>
      <c r="AH96" s="128">
        <f t="shared" si="170"/>
        <v>-0.64344557495785182</v>
      </c>
      <c r="AI96" s="128">
        <f t="shared" si="171"/>
        <v>0</v>
      </c>
      <c r="AJ96" s="128">
        <f t="shared" si="172"/>
        <v>-0.64344557495783761</v>
      </c>
      <c r="AK96" s="61">
        <f t="shared" ref="AK96:AK105" si="183">T81</f>
        <v>4</v>
      </c>
      <c r="AL96" s="59"/>
      <c r="AM96" s="134">
        <f t="shared" si="173"/>
        <v>2.4999999999999911E-2</v>
      </c>
      <c r="AN96" s="135">
        <f t="shared" si="174"/>
        <v>-9.231546158991355E-3</v>
      </c>
      <c r="AO96" s="135">
        <f t="shared" si="175"/>
        <v>0</v>
      </c>
      <c r="AP96" s="134">
        <f t="shared" si="176"/>
        <v>-5.7910493458049883E-3</v>
      </c>
      <c r="AQ96" s="134">
        <f t="shared" ref="AQ96:AQ99" si="184">(Q96+60)/(Q$100+60) -1</f>
        <v>0</v>
      </c>
    </row>
    <row r="97" spans="1:43">
      <c r="A97" s="59"/>
      <c r="B97" s="20">
        <f t="shared" si="177"/>
        <v>183</v>
      </c>
      <c r="C97" s="18">
        <f t="shared" si="157"/>
        <v>162.89629500000001</v>
      </c>
      <c r="D97" s="63">
        <f t="shared" si="178"/>
        <v>28</v>
      </c>
      <c r="E97" s="63">
        <f t="shared" si="179"/>
        <v>88</v>
      </c>
      <c r="F97" s="63">
        <f t="shared" si="179"/>
        <v>163</v>
      </c>
      <c r="G97" s="63">
        <f t="shared" si="158"/>
        <v>17</v>
      </c>
      <c r="H97" s="69">
        <f t="shared" si="159"/>
        <v>41.409622109270856</v>
      </c>
      <c r="I97" s="69">
        <f t="shared" si="180"/>
        <v>0</v>
      </c>
      <c r="J97" s="61"/>
      <c r="K97" s="63"/>
      <c r="L97" s="63">
        <f t="shared" si="160"/>
        <v>59.529404498953284</v>
      </c>
      <c r="M97" s="41">
        <f t="shared" si="161"/>
        <v>0</v>
      </c>
      <c r="N97" s="61"/>
      <c r="O97" s="61"/>
      <c r="P97" s="23">
        <f>P$100</f>
        <v>1.1000000000000001</v>
      </c>
      <c r="Q97" s="20">
        <f t="shared" si="162"/>
        <v>201.3</v>
      </c>
      <c r="R97" s="23">
        <f>R$100</f>
        <v>0.3</v>
      </c>
      <c r="S97" s="61">
        <f t="shared" ref="S97:S99" si="185">Q97*R97</f>
        <v>60.39</v>
      </c>
      <c r="T97" s="61">
        <f t="shared" ref="T97:T99" si="186">S97/2</f>
        <v>30.195</v>
      </c>
      <c r="U97" s="61">
        <f t="shared" si="163"/>
        <v>51.305</v>
      </c>
      <c r="V97" s="61"/>
      <c r="W97" s="61">
        <f t="shared" si="164"/>
        <v>59.726013533671392</v>
      </c>
      <c r="X97" s="63">
        <f t="shared" si="165"/>
        <v>27.648530479295758</v>
      </c>
      <c r="Y97" s="61">
        <f t="shared" ref="Y97:Y99" si="187">SQRT(X97*X97+U97*U97)</f>
        <v>58.28073663453943</v>
      </c>
      <c r="Z97" s="9">
        <f t="shared" ref="Z97:Z99" si="188">DEGREES(ASIN(X97/Y97))</f>
        <v>28.320457697059062</v>
      </c>
      <c r="AA97" s="9">
        <f t="shared" si="166"/>
        <v>40.89881449972642</v>
      </c>
      <c r="AB97" s="4">
        <f t="shared" si="167"/>
        <v>69.219272196785482</v>
      </c>
      <c r="AC97" s="69">
        <f t="shared" si="168"/>
        <v>-0.48146523939624331</v>
      </c>
      <c r="AD97" s="69">
        <f t="shared" si="181"/>
        <v>110.62889430605634</v>
      </c>
      <c r="AE97" s="64">
        <f t="shared" si="169"/>
        <v>-0.48146523939622909</v>
      </c>
      <c r="AF97" s="59"/>
      <c r="AG97" s="128">
        <f t="shared" si="182"/>
        <v>163</v>
      </c>
      <c r="AH97" s="128">
        <f t="shared" si="170"/>
        <v>-0.48146523939624331</v>
      </c>
      <c r="AI97" s="128">
        <f t="shared" si="171"/>
        <v>0</v>
      </c>
      <c r="AJ97" s="128">
        <f t="shared" si="172"/>
        <v>-0.48146523939622909</v>
      </c>
      <c r="AK97" s="61">
        <f t="shared" si="183"/>
        <v>3</v>
      </c>
      <c r="AL97" s="59"/>
      <c r="AM97" s="134">
        <f t="shared" si="173"/>
        <v>1.8750000000000044E-2</v>
      </c>
      <c r="AN97" s="135">
        <f t="shared" si="174"/>
        <v>-6.9076061044127668E-3</v>
      </c>
      <c r="AO97" s="135">
        <f t="shared" si="175"/>
        <v>0</v>
      </c>
      <c r="AP97" s="134">
        <f t="shared" si="176"/>
        <v>-4.3332164648363092E-3</v>
      </c>
      <c r="AQ97" s="134">
        <f t="shared" si="184"/>
        <v>0</v>
      </c>
    </row>
    <row r="98" spans="1:43">
      <c r="A98" s="59"/>
      <c r="B98" s="20">
        <f t="shared" si="177"/>
        <v>183</v>
      </c>
      <c r="C98" s="18">
        <f t="shared" si="157"/>
        <v>162.89629500000001</v>
      </c>
      <c r="D98" s="63">
        <f t="shared" si="178"/>
        <v>27</v>
      </c>
      <c r="E98" s="63">
        <f t="shared" si="179"/>
        <v>88</v>
      </c>
      <c r="F98" s="63">
        <f t="shared" si="179"/>
        <v>162</v>
      </c>
      <c r="G98" s="63">
        <f t="shared" si="158"/>
        <v>18</v>
      </c>
      <c r="H98" s="69">
        <f t="shared" si="159"/>
        <v>41.409622109270856</v>
      </c>
      <c r="I98" s="69">
        <f t="shared" si="180"/>
        <v>0</v>
      </c>
      <c r="J98" s="61"/>
      <c r="K98" s="63"/>
      <c r="L98" s="63">
        <f t="shared" si="160"/>
        <v>59.529404498953284</v>
      </c>
      <c r="M98" s="41">
        <f t="shared" si="161"/>
        <v>0</v>
      </c>
      <c r="N98" s="61"/>
      <c r="O98" s="61"/>
      <c r="P98" s="23">
        <f>P$100</f>
        <v>1.1000000000000001</v>
      </c>
      <c r="Q98" s="20">
        <f t="shared" si="162"/>
        <v>201.3</v>
      </c>
      <c r="R98" s="23">
        <f>R$100</f>
        <v>0.3</v>
      </c>
      <c r="S98" s="61">
        <f t="shared" si="185"/>
        <v>60.39</v>
      </c>
      <c r="T98" s="61">
        <f t="shared" si="186"/>
        <v>30.195</v>
      </c>
      <c r="U98" s="61">
        <f t="shared" si="163"/>
        <v>50.805</v>
      </c>
      <c r="V98" s="61"/>
      <c r="W98" s="61">
        <f t="shared" si="164"/>
        <v>59.726013533671392</v>
      </c>
      <c r="X98" s="63">
        <f t="shared" si="165"/>
        <v>27.648530479295758</v>
      </c>
      <c r="Y98" s="61">
        <f t="shared" si="187"/>
        <v>57.841068996557681</v>
      </c>
      <c r="Z98" s="9">
        <f t="shared" si="188"/>
        <v>28.555423448568774</v>
      </c>
      <c r="AA98" s="9">
        <f t="shared" si="166"/>
        <v>40.825091645158189</v>
      </c>
      <c r="AB98" s="4">
        <f t="shared" si="167"/>
        <v>69.380515093726956</v>
      </c>
      <c r="AC98" s="69">
        <f t="shared" si="168"/>
        <v>-0.32022234245476966</v>
      </c>
      <c r="AD98" s="69">
        <f t="shared" si="181"/>
        <v>110.79013720299781</v>
      </c>
      <c r="AE98" s="64">
        <f t="shared" si="169"/>
        <v>-0.32022234245475545</v>
      </c>
      <c r="AF98" s="59"/>
      <c r="AG98" s="128">
        <f t="shared" si="182"/>
        <v>162</v>
      </c>
      <c r="AH98" s="128">
        <f t="shared" si="170"/>
        <v>-0.32022234245476966</v>
      </c>
      <c r="AI98" s="128">
        <f t="shared" si="171"/>
        <v>0</v>
      </c>
      <c r="AJ98" s="128">
        <f t="shared" si="172"/>
        <v>-0.32022234245475545</v>
      </c>
      <c r="AK98" s="61">
        <f t="shared" si="183"/>
        <v>2</v>
      </c>
      <c r="AL98" s="59"/>
      <c r="AM98" s="134">
        <f t="shared" si="173"/>
        <v>1.2499999999999956E-2</v>
      </c>
      <c r="AN98" s="135">
        <f t="shared" si="174"/>
        <v>-4.5942461189591999E-3</v>
      </c>
      <c r="AO98" s="135">
        <f t="shared" si="175"/>
        <v>0</v>
      </c>
      <c r="AP98" s="134">
        <f t="shared" si="176"/>
        <v>-2.8820205763421258E-3</v>
      </c>
      <c r="AQ98" s="134">
        <f t="shared" si="184"/>
        <v>0</v>
      </c>
    </row>
    <row r="99" spans="1:43">
      <c r="A99" s="59"/>
      <c r="B99" s="20">
        <f t="shared" si="177"/>
        <v>183</v>
      </c>
      <c r="C99" s="18">
        <f t="shared" si="157"/>
        <v>162.89629500000001</v>
      </c>
      <c r="D99" s="63">
        <f t="shared" si="178"/>
        <v>26</v>
      </c>
      <c r="E99" s="63">
        <f t="shared" si="179"/>
        <v>88</v>
      </c>
      <c r="F99" s="63">
        <f t="shared" si="179"/>
        <v>161</v>
      </c>
      <c r="G99" s="63">
        <f t="shared" si="158"/>
        <v>19</v>
      </c>
      <c r="H99" s="69">
        <f t="shared" si="159"/>
        <v>41.409622109270856</v>
      </c>
      <c r="I99" s="69">
        <f t="shared" si="180"/>
        <v>0</v>
      </c>
      <c r="J99" s="61"/>
      <c r="K99" s="63"/>
      <c r="L99" s="63">
        <f t="shared" si="160"/>
        <v>59.529404498953284</v>
      </c>
      <c r="M99" s="41">
        <f t="shared" si="161"/>
        <v>0</v>
      </c>
      <c r="N99" s="61"/>
      <c r="O99" s="61"/>
      <c r="P99" s="23">
        <f>P$100</f>
        <v>1.1000000000000001</v>
      </c>
      <c r="Q99" s="20">
        <f t="shared" si="162"/>
        <v>201.3</v>
      </c>
      <c r="R99" s="23">
        <f>R$100</f>
        <v>0.3</v>
      </c>
      <c r="S99" s="61">
        <f t="shared" si="185"/>
        <v>60.39</v>
      </c>
      <c r="T99" s="61">
        <f t="shared" si="186"/>
        <v>30.195</v>
      </c>
      <c r="U99" s="61">
        <f t="shared" si="163"/>
        <v>50.305</v>
      </c>
      <c r="V99" s="61"/>
      <c r="W99" s="61">
        <f t="shared" si="164"/>
        <v>59.726013533671392</v>
      </c>
      <c r="X99" s="63">
        <f>X$100 -M99</f>
        <v>27.648530479295758</v>
      </c>
      <c r="Y99" s="61">
        <f t="shared" si="187"/>
        <v>57.402388997885325</v>
      </c>
      <c r="Z99" s="9">
        <f t="shared" si="188"/>
        <v>28.79398456953578</v>
      </c>
      <c r="AA99" s="9">
        <f t="shared" si="166"/>
        <v>40.747023378413779</v>
      </c>
      <c r="AB99" s="4">
        <f t="shared" si="167"/>
        <v>69.541007947949566</v>
      </c>
      <c r="AC99" s="69">
        <f t="shared" si="168"/>
        <v>-0.15972948823215916</v>
      </c>
      <c r="AD99" s="69">
        <f t="shared" si="181"/>
        <v>110.95063005722042</v>
      </c>
      <c r="AE99" s="64">
        <f t="shared" si="169"/>
        <v>-0.15972948823214494</v>
      </c>
      <c r="AF99" s="59"/>
      <c r="AG99" s="128">
        <f t="shared" si="182"/>
        <v>161</v>
      </c>
      <c r="AH99" s="128">
        <f t="shared" si="170"/>
        <v>-0.15972948823215916</v>
      </c>
      <c r="AI99" s="128">
        <f t="shared" si="171"/>
        <v>0</v>
      </c>
      <c r="AJ99" s="128">
        <f t="shared" si="172"/>
        <v>-0.15972948823214494</v>
      </c>
      <c r="AK99" s="61">
        <f t="shared" si="183"/>
        <v>1</v>
      </c>
      <c r="AL99" s="59"/>
      <c r="AM99" s="134">
        <f t="shared" si="173"/>
        <v>6.2500000000000888E-3</v>
      </c>
      <c r="AN99" s="135">
        <f t="shared" si="174"/>
        <v>-2.2916470342714268E-3</v>
      </c>
      <c r="AO99" s="135">
        <f t="shared" si="175"/>
        <v>0</v>
      </c>
      <c r="AP99" s="134">
        <f t="shared" si="176"/>
        <v>-1.4375751179782625E-3</v>
      </c>
      <c r="AQ99" s="134">
        <f t="shared" si="184"/>
        <v>0</v>
      </c>
    </row>
    <row r="100" spans="1:43">
      <c r="A100" s="15"/>
      <c r="B100" s="20">
        <f t="shared" si="177"/>
        <v>183</v>
      </c>
      <c r="C100" s="37">
        <f>100*(0.297865*B100/100+1.08387)</f>
        <v>162.89629500000001</v>
      </c>
      <c r="D100" s="63">
        <f t="shared" si="178"/>
        <v>25</v>
      </c>
      <c r="E100" s="63">
        <f t="shared" si="179"/>
        <v>88</v>
      </c>
      <c r="F100" s="63">
        <f t="shared" si="179"/>
        <v>160</v>
      </c>
      <c r="G100" s="40">
        <f>(E100+2)*2 -F100</f>
        <v>20</v>
      </c>
      <c r="H100" s="70">
        <f>DEGREES(ACOS((F100-D100)/2/(E100+2)))</f>
        <v>41.409622109270856</v>
      </c>
      <c r="I100" s="70">
        <f t="shared" si="180"/>
        <v>0</v>
      </c>
      <c r="J100" s="70">
        <f>DEGREES(C100/(E100-6+2))</f>
        <v>111.11035954545257</v>
      </c>
      <c r="K100" s="44">
        <f>J100-H100</f>
        <v>69.700737436181711</v>
      </c>
      <c r="L100" s="41">
        <f>((F100-D100)/2)*TAN(RADIANS(H100))</f>
        <v>59.529404498953284</v>
      </c>
      <c r="M100" s="41">
        <f>L100-L$100</f>
        <v>0</v>
      </c>
      <c r="N100" s="39">
        <f>(E100+2)*SIN(RADIANS(K100))</f>
        <v>84.410405985170328</v>
      </c>
      <c r="O100" s="39">
        <f>(F100/2)- (E100+2)*COS(RADIANS(K100))</f>
        <v>48.776877775937891</v>
      </c>
      <c r="P100" s="42">
        <v>1.1000000000000001</v>
      </c>
      <c r="Q100" s="43">
        <f t="shared" si="162"/>
        <v>201.3</v>
      </c>
      <c r="R100" s="42">
        <v>0.3</v>
      </c>
      <c r="S100" s="39">
        <f>Q100*R100</f>
        <v>60.39</v>
      </c>
      <c r="T100" s="39">
        <f>S100/2</f>
        <v>30.195</v>
      </c>
      <c r="U100" s="39">
        <f t="shared" si="163"/>
        <v>49.805</v>
      </c>
      <c r="V100" s="39">
        <f>O100-T100</f>
        <v>18.58187777593789</v>
      </c>
      <c r="W100" s="39">
        <f>COS(RADIANS(17))*((Q100-S100)/2-8)</f>
        <v>59.726013533671392</v>
      </c>
      <c r="X100" s="40">
        <f xml:space="preserve"> N100- SQRT(W100*W100-V100*V100)</f>
        <v>27.648530479295758</v>
      </c>
      <c r="Y100" s="39">
        <f>SQRT(X100*X100+U100*U100)</f>
        <v>56.964719455681923</v>
      </c>
      <c r="Z100" s="44">
        <f>DEGREES(ASIN(X100/Y100))</f>
        <v>29.036215754482349</v>
      </c>
      <c r="AA100" s="44">
        <f t="shared" si="166"/>
        <v>40.664521681699377</v>
      </c>
      <c r="AB100" s="52">
        <f t="shared" si="167"/>
        <v>69.700737436181726</v>
      </c>
      <c r="AC100" s="70">
        <f>AB100-AB$100</f>
        <v>0</v>
      </c>
      <c r="AD100" s="70">
        <f t="shared" si="181"/>
        <v>111.11035954545258</v>
      </c>
      <c r="AE100" s="71">
        <f>H100+AB100-J$100</f>
        <v>0</v>
      </c>
      <c r="AF100" s="123"/>
      <c r="AG100" s="128">
        <f t="shared" si="182"/>
        <v>160</v>
      </c>
      <c r="AH100" s="128">
        <f t="shared" si="170"/>
        <v>0</v>
      </c>
      <c r="AI100" s="128">
        <f t="shared" si="171"/>
        <v>0</v>
      </c>
      <c r="AJ100" s="128">
        <f t="shared" si="172"/>
        <v>0</v>
      </c>
      <c r="AK100" s="61">
        <f t="shared" si="183"/>
        <v>0</v>
      </c>
      <c r="AL100" s="15"/>
      <c r="AM100" s="134">
        <f>AG100/AG$100-1</f>
        <v>0</v>
      </c>
      <c r="AN100" s="135">
        <f>AB100/AB$100-1</f>
        <v>0</v>
      </c>
      <c r="AO100" s="135">
        <f>H100/H$100-1</f>
        <v>0</v>
      </c>
      <c r="AP100" s="134">
        <f>AD100/AD$100-1</f>
        <v>0</v>
      </c>
      <c r="AQ100" s="134">
        <f>(Q100+60)/(Q$100+60) -1</f>
        <v>0</v>
      </c>
    </row>
    <row r="101" spans="1:43">
      <c r="A101" s="5"/>
      <c r="B101" s="20">
        <f t="shared" si="177"/>
        <v>183</v>
      </c>
      <c r="C101" s="18">
        <f t="shared" ref="C101:C105" si="189">100*(0.297865*B101/100+1.08387)</f>
        <v>162.89629500000001</v>
      </c>
      <c r="D101" s="63">
        <f t="shared" si="178"/>
        <v>24</v>
      </c>
      <c r="E101" s="63">
        <f t="shared" si="179"/>
        <v>88</v>
      </c>
      <c r="F101" s="63">
        <f t="shared" si="179"/>
        <v>159</v>
      </c>
      <c r="G101" s="63">
        <f t="shared" ref="G101:G105" si="190">(E101+2)*2 -F101</f>
        <v>21</v>
      </c>
      <c r="H101" s="69">
        <f>H$100</f>
        <v>41.409622109270856</v>
      </c>
      <c r="I101" s="69">
        <f t="shared" si="180"/>
        <v>0</v>
      </c>
      <c r="J101" s="61"/>
      <c r="K101" s="63"/>
      <c r="L101" s="63">
        <f t="shared" ref="L101:L105" si="191">L$100</f>
        <v>59.529404498953284</v>
      </c>
      <c r="M101" s="41">
        <f t="shared" ref="M101:M105" si="192">L101-L$100</f>
        <v>0</v>
      </c>
      <c r="N101" s="61"/>
      <c r="O101" s="61"/>
      <c r="P101" s="23">
        <f>P$100</f>
        <v>1.1000000000000001</v>
      </c>
      <c r="Q101" s="20">
        <f t="shared" si="162"/>
        <v>201.3</v>
      </c>
      <c r="R101" s="23">
        <f>R$100</f>
        <v>0.3</v>
      </c>
      <c r="S101" s="61">
        <f>Q101*R101</f>
        <v>60.39</v>
      </c>
      <c r="T101" s="61">
        <f>S101/2</f>
        <v>30.195</v>
      </c>
      <c r="U101" s="61">
        <f t="shared" si="163"/>
        <v>49.305</v>
      </c>
      <c r="V101" s="61"/>
      <c r="W101" s="61">
        <f t="shared" ref="W101:W105" si="193">COS(RADIANS(17))*((Q101-S101)/2 -8)</f>
        <v>59.726013533671392</v>
      </c>
      <c r="X101" s="63">
        <f>X$100 -M101</f>
        <v>27.648530479295758</v>
      </c>
      <c r="Y101" s="61">
        <f>SQRT(X101*X101+U101*U101)</f>
        <v>56.528083840375722</v>
      </c>
      <c r="Z101" s="9">
        <f>DEGREES(ASIN(X101/Y101))</f>
        <v>29.282193488951627</v>
      </c>
      <c r="AA101" s="9">
        <f t="shared" si="166"/>
        <v>40.577495989593857</v>
      </c>
      <c r="AB101" s="4">
        <f t="shared" si="167"/>
        <v>69.859689478545477</v>
      </c>
      <c r="AC101" s="69">
        <f t="shared" ref="AC101:AC105" si="194">AB101-AB$100</f>
        <v>0.15895204236375093</v>
      </c>
      <c r="AD101" s="69">
        <f t="shared" si="181"/>
        <v>111.26931158781633</v>
      </c>
      <c r="AE101" s="64">
        <f t="shared" ref="AE101:AE105" si="195">H101+AB101-J$100</f>
        <v>0.15895204236376514</v>
      </c>
      <c r="AF101" s="59"/>
      <c r="AG101" s="128">
        <f t="shared" si="182"/>
        <v>159</v>
      </c>
      <c r="AH101" s="128">
        <f t="shared" si="170"/>
        <v>0.15895204236375093</v>
      </c>
      <c r="AI101" s="128">
        <f t="shared" si="171"/>
        <v>0</v>
      </c>
      <c r="AJ101" s="128">
        <f t="shared" si="172"/>
        <v>0.15895204236376514</v>
      </c>
      <c r="AK101" s="61">
        <f t="shared" si="183"/>
        <v>-1</v>
      </c>
      <c r="AL101" s="59"/>
      <c r="AM101" s="134">
        <f t="shared" ref="AM101:AM105" si="196">AG101/AG$100-1</f>
        <v>-6.2499999999999778E-3</v>
      </c>
      <c r="AN101" s="135">
        <f t="shared" ref="AN101:AN105" si="197">AB101/AB$100-1</f>
        <v>2.2804929791351292E-3</v>
      </c>
      <c r="AO101" s="135">
        <f t="shared" ref="AO101:AO105" si="198">H101/H$100-1</f>
        <v>0</v>
      </c>
      <c r="AP101" s="134">
        <f t="shared" ref="AP101:AP105" si="199">AD101/AD$100-1</f>
        <v>1.4305780578338645E-3</v>
      </c>
      <c r="AQ101" s="134">
        <f t="shared" ref="AQ101:AQ105" si="200">(Q101+60)/(Q$100+60) -1</f>
        <v>0</v>
      </c>
    </row>
    <row r="102" spans="1:43">
      <c r="A102" s="59"/>
      <c r="B102" s="20">
        <f t="shared" si="177"/>
        <v>183</v>
      </c>
      <c r="C102" s="18">
        <f t="shared" si="189"/>
        <v>162.89629500000001</v>
      </c>
      <c r="D102" s="63">
        <f t="shared" si="178"/>
        <v>23</v>
      </c>
      <c r="E102" s="63">
        <f t="shared" si="179"/>
        <v>88</v>
      </c>
      <c r="F102" s="63">
        <f t="shared" si="179"/>
        <v>158</v>
      </c>
      <c r="G102" s="63">
        <f t="shared" si="190"/>
        <v>22</v>
      </c>
      <c r="H102" s="69">
        <f t="shared" ref="H102:H105" si="201">H$100</f>
        <v>41.409622109270856</v>
      </c>
      <c r="I102" s="69">
        <f t="shared" si="180"/>
        <v>0</v>
      </c>
      <c r="J102" s="61"/>
      <c r="K102" s="63"/>
      <c r="L102" s="63">
        <f t="shared" si="191"/>
        <v>59.529404498953284</v>
      </c>
      <c r="M102" s="41">
        <f t="shared" si="192"/>
        <v>0</v>
      </c>
      <c r="N102" s="61"/>
      <c r="O102" s="61"/>
      <c r="P102" s="23">
        <f>P$100</f>
        <v>1.1000000000000001</v>
      </c>
      <c r="Q102" s="20">
        <f t="shared" si="162"/>
        <v>201.3</v>
      </c>
      <c r="R102" s="23">
        <f>R$100</f>
        <v>0.3</v>
      </c>
      <c r="S102" s="61">
        <f>Q102*R102</f>
        <v>60.39</v>
      </c>
      <c r="T102" s="61">
        <f>S102/2</f>
        <v>30.195</v>
      </c>
      <c r="U102" s="61">
        <f t="shared" si="163"/>
        <v>48.805</v>
      </c>
      <c r="V102" s="61"/>
      <c r="W102" s="61">
        <f t="shared" si="193"/>
        <v>59.726013533671392</v>
      </c>
      <c r="X102" s="63">
        <f>X$100 -M102</f>
        <v>27.648530479295758</v>
      </c>
      <c r="Y102" s="61">
        <f>SQRT(X102*X102+U102*U102)</f>
        <v>56.092506296871299</v>
      </c>
      <c r="Z102" s="9">
        <f>DEGREES(ASIN(X102/Y102))</f>
        <v>29.531996090233616</v>
      </c>
      <c r="AA102" s="9">
        <f t="shared" si="166"/>
        <v>40.485853108269573</v>
      </c>
      <c r="AB102" s="4">
        <f t="shared" si="167"/>
        <v>70.017849198503185</v>
      </c>
      <c r="AC102" s="69">
        <f t="shared" si="194"/>
        <v>0.31711176232145988</v>
      </c>
      <c r="AD102" s="69">
        <f t="shared" si="181"/>
        <v>111.42747130777404</v>
      </c>
      <c r="AE102" s="64">
        <f t="shared" si="195"/>
        <v>0.31711176232147409</v>
      </c>
      <c r="AF102" s="59"/>
      <c r="AG102" s="128">
        <f t="shared" si="182"/>
        <v>158</v>
      </c>
      <c r="AH102" s="128">
        <f t="shared" si="170"/>
        <v>0.31711176232145988</v>
      </c>
      <c r="AI102" s="128">
        <f t="shared" si="171"/>
        <v>0</v>
      </c>
      <c r="AJ102" s="128">
        <f t="shared" si="172"/>
        <v>0.31711176232147409</v>
      </c>
      <c r="AK102" s="61">
        <f t="shared" si="183"/>
        <v>-2</v>
      </c>
      <c r="AL102" s="59"/>
      <c r="AM102" s="134">
        <f t="shared" si="196"/>
        <v>-1.2499999999999956E-2</v>
      </c>
      <c r="AN102" s="135">
        <f t="shared" si="197"/>
        <v>4.5496184686970587E-3</v>
      </c>
      <c r="AO102" s="135">
        <f t="shared" si="198"/>
        <v>0</v>
      </c>
      <c r="AP102" s="134">
        <f t="shared" si="199"/>
        <v>2.8540251657789284E-3</v>
      </c>
      <c r="AQ102" s="134">
        <f t="shared" si="200"/>
        <v>0</v>
      </c>
    </row>
    <row r="103" spans="1:43">
      <c r="A103" s="59"/>
      <c r="B103" s="20">
        <f t="shared" si="177"/>
        <v>183</v>
      </c>
      <c r="C103" s="18">
        <f t="shared" si="189"/>
        <v>162.89629500000001</v>
      </c>
      <c r="D103" s="63">
        <f t="shared" si="178"/>
        <v>22</v>
      </c>
      <c r="E103" s="63">
        <f t="shared" si="179"/>
        <v>88</v>
      </c>
      <c r="F103" s="63">
        <f t="shared" si="179"/>
        <v>157</v>
      </c>
      <c r="G103" s="63">
        <f t="shared" si="190"/>
        <v>23</v>
      </c>
      <c r="H103" s="69">
        <f t="shared" si="201"/>
        <v>41.409622109270856</v>
      </c>
      <c r="I103" s="69">
        <f t="shared" si="180"/>
        <v>0</v>
      </c>
      <c r="J103" s="61"/>
      <c r="K103" s="63"/>
      <c r="L103" s="63">
        <f t="shared" si="191"/>
        <v>59.529404498953284</v>
      </c>
      <c r="M103" s="41">
        <f t="shared" si="192"/>
        <v>0</v>
      </c>
      <c r="N103" s="61"/>
      <c r="O103" s="61"/>
      <c r="P103" s="23">
        <f>P$100</f>
        <v>1.1000000000000001</v>
      </c>
      <c r="Q103" s="20">
        <f t="shared" si="162"/>
        <v>201.3</v>
      </c>
      <c r="R103" s="23">
        <f>R$100</f>
        <v>0.3</v>
      </c>
      <c r="S103" s="61">
        <f t="shared" ref="S103:S105" si="202">Q103*R103</f>
        <v>60.39</v>
      </c>
      <c r="T103" s="61">
        <f t="shared" ref="T103:T105" si="203">S103/2</f>
        <v>30.195</v>
      </c>
      <c r="U103" s="61">
        <f t="shared" si="163"/>
        <v>48.305</v>
      </c>
      <c r="V103" s="61"/>
      <c r="W103" s="61">
        <f t="shared" si="193"/>
        <v>59.726013533671392</v>
      </c>
      <c r="X103" s="63">
        <f t="shared" ref="X103:X105" si="204">X$100 -M103</f>
        <v>27.648530479295758</v>
      </c>
      <c r="Y103" s="61">
        <f t="shared" ref="Y103:Y105" si="205">SQRT(X103*X103+U103*U103)</f>
        <v>55.658011666466727</v>
      </c>
      <c r="Z103" s="9">
        <f t="shared" ref="Z103:Z105" si="206">DEGREES(ASIN(X103/Y103))</f>
        <v>29.785703748405957</v>
      </c>
      <c r="AA103" s="9">
        <f t="shared" si="166"/>
        <v>40.389497131565641</v>
      </c>
      <c r="AB103" s="4">
        <f t="shared" si="167"/>
        <v>70.175200879971598</v>
      </c>
      <c r="AC103" s="69">
        <f t="shared" si="194"/>
        <v>0.47446344378987249</v>
      </c>
      <c r="AD103" s="69">
        <f t="shared" si="181"/>
        <v>111.58482298924245</v>
      </c>
      <c r="AE103" s="64">
        <f t="shared" si="195"/>
        <v>0.4744634437898867</v>
      </c>
      <c r="AF103" s="59"/>
      <c r="AG103" s="128">
        <f t="shared" si="182"/>
        <v>157</v>
      </c>
      <c r="AH103" s="128">
        <f t="shared" si="170"/>
        <v>0.47446344378987249</v>
      </c>
      <c r="AI103" s="128">
        <f t="shared" si="171"/>
        <v>0</v>
      </c>
      <c r="AJ103" s="128">
        <f t="shared" si="172"/>
        <v>0.4744634437898867</v>
      </c>
      <c r="AK103" s="61">
        <f t="shared" si="183"/>
        <v>-3</v>
      </c>
      <c r="AL103" s="59"/>
      <c r="AM103" s="134">
        <f t="shared" si="196"/>
        <v>-1.8750000000000044E-2</v>
      </c>
      <c r="AN103" s="135">
        <f t="shared" si="197"/>
        <v>6.8071509892457804E-3</v>
      </c>
      <c r="AO103" s="135">
        <f t="shared" si="198"/>
        <v>0</v>
      </c>
      <c r="AP103" s="134">
        <f t="shared" si="199"/>
        <v>4.270199878129155E-3</v>
      </c>
      <c r="AQ103" s="134">
        <f t="shared" si="200"/>
        <v>0</v>
      </c>
    </row>
    <row r="104" spans="1:43">
      <c r="A104" s="59"/>
      <c r="B104" s="20">
        <f t="shared" si="177"/>
        <v>183</v>
      </c>
      <c r="C104" s="18">
        <f t="shared" si="189"/>
        <v>162.89629500000001</v>
      </c>
      <c r="D104" s="63">
        <f t="shared" si="178"/>
        <v>21</v>
      </c>
      <c r="E104" s="63">
        <f t="shared" si="179"/>
        <v>88</v>
      </c>
      <c r="F104" s="63">
        <f t="shared" si="179"/>
        <v>156</v>
      </c>
      <c r="G104" s="63">
        <f t="shared" si="190"/>
        <v>24</v>
      </c>
      <c r="H104" s="69">
        <f t="shared" si="201"/>
        <v>41.409622109270856</v>
      </c>
      <c r="I104" s="69">
        <f t="shared" si="180"/>
        <v>0</v>
      </c>
      <c r="J104" s="61"/>
      <c r="K104" s="63"/>
      <c r="L104" s="63">
        <f t="shared" si="191"/>
        <v>59.529404498953284</v>
      </c>
      <c r="M104" s="41">
        <f t="shared" si="192"/>
        <v>0</v>
      </c>
      <c r="N104" s="61"/>
      <c r="O104" s="61"/>
      <c r="P104" s="23">
        <f>P$100</f>
        <v>1.1000000000000001</v>
      </c>
      <c r="Q104" s="20">
        <f t="shared" si="162"/>
        <v>201.3</v>
      </c>
      <c r="R104" s="23">
        <f>R$100</f>
        <v>0.3</v>
      </c>
      <c r="S104" s="61">
        <f t="shared" si="202"/>
        <v>60.39</v>
      </c>
      <c r="T104" s="61">
        <f t="shared" si="203"/>
        <v>30.195</v>
      </c>
      <c r="U104" s="61">
        <f t="shared" si="163"/>
        <v>47.805</v>
      </c>
      <c r="V104" s="61"/>
      <c r="W104" s="61">
        <f t="shared" si="193"/>
        <v>59.726013533671392</v>
      </c>
      <c r="X104" s="63">
        <f t="shared" si="204"/>
        <v>27.648530479295758</v>
      </c>
      <c r="Y104" s="61">
        <f t="shared" si="205"/>
        <v>55.224625509500257</v>
      </c>
      <c r="Z104" s="9">
        <f t="shared" si="206"/>
        <v>30.043398567619786</v>
      </c>
      <c r="AA104" s="9">
        <f t="shared" si="166"/>
        <v>40.288329353750527</v>
      </c>
      <c r="AB104" s="4">
        <f t="shared" si="167"/>
        <v>70.331727921370316</v>
      </c>
      <c r="AC104" s="69">
        <f t="shared" si="194"/>
        <v>0.63099048518859036</v>
      </c>
      <c r="AD104" s="69">
        <f t="shared" si="181"/>
        <v>111.74135003064117</v>
      </c>
      <c r="AE104" s="64">
        <f t="shared" si="195"/>
        <v>0.63099048518860457</v>
      </c>
      <c r="AF104" s="59"/>
      <c r="AG104" s="128">
        <f t="shared" si="182"/>
        <v>156</v>
      </c>
      <c r="AH104" s="128">
        <f t="shared" si="170"/>
        <v>0.63099048518859036</v>
      </c>
      <c r="AI104" s="128">
        <f t="shared" si="171"/>
        <v>0</v>
      </c>
      <c r="AJ104" s="128">
        <f t="shared" si="172"/>
        <v>0.63099048518860457</v>
      </c>
      <c r="AK104" s="61">
        <f t="shared" si="183"/>
        <v>-4</v>
      </c>
      <c r="AL104" s="59"/>
      <c r="AM104" s="134">
        <f t="shared" si="196"/>
        <v>-2.5000000000000022E-2</v>
      </c>
      <c r="AN104" s="135">
        <f t="shared" si="197"/>
        <v>9.0528523570689856E-3</v>
      </c>
      <c r="AO104" s="135">
        <f t="shared" si="198"/>
        <v>0</v>
      </c>
      <c r="AP104" s="134">
        <f t="shared" si="199"/>
        <v>5.6789527796503592E-3</v>
      </c>
      <c r="AQ104" s="134">
        <f t="shared" si="200"/>
        <v>0</v>
      </c>
    </row>
    <row r="105" spans="1:43">
      <c r="A105" s="59"/>
      <c r="B105" s="20">
        <f t="shared" si="177"/>
        <v>183</v>
      </c>
      <c r="C105" s="18">
        <f t="shared" si="189"/>
        <v>162.89629500000001</v>
      </c>
      <c r="D105" s="63">
        <f t="shared" si="178"/>
        <v>20</v>
      </c>
      <c r="E105" s="63">
        <f t="shared" si="179"/>
        <v>88</v>
      </c>
      <c r="F105" s="63">
        <f t="shared" si="179"/>
        <v>155</v>
      </c>
      <c r="G105" s="63">
        <f t="shared" si="190"/>
        <v>25</v>
      </c>
      <c r="H105" s="69">
        <f t="shared" si="201"/>
        <v>41.409622109270856</v>
      </c>
      <c r="I105" s="69">
        <f t="shared" si="180"/>
        <v>0</v>
      </c>
      <c r="J105" s="61"/>
      <c r="K105" s="63"/>
      <c r="L105" s="63">
        <f t="shared" si="191"/>
        <v>59.529404498953284</v>
      </c>
      <c r="M105" s="41">
        <f t="shared" si="192"/>
        <v>0</v>
      </c>
      <c r="N105" s="61"/>
      <c r="O105" s="61"/>
      <c r="P105" s="23">
        <f>P$100</f>
        <v>1.1000000000000001</v>
      </c>
      <c r="Q105" s="20">
        <f t="shared" si="162"/>
        <v>201.3</v>
      </c>
      <c r="R105" s="23">
        <f>R$100</f>
        <v>0.3</v>
      </c>
      <c r="S105" s="61">
        <f t="shared" si="202"/>
        <v>60.39</v>
      </c>
      <c r="T105" s="61">
        <f t="shared" si="203"/>
        <v>30.195</v>
      </c>
      <c r="U105" s="61">
        <f t="shared" si="163"/>
        <v>47.305</v>
      </c>
      <c r="V105" s="61"/>
      <c r="W105" s="61">
        <f t="shared" si="193"/>
        <v>59.726013533671392</v>
      </c>
      <c r="X105" s="63">
        <f t="shared" si="204"/>
        <v>27.648530479295758</v>
      </c>
      <c r="Y105" s="92">
        <f t="shared" si="205"/>
        <v>54.792374128746665</v>
      </c>
      <c r="Z105" s="105">
        <f t="shared" si="206"/>
        <v>30.305164607552083</v>
      </c>
      <c r="AA105" s="105">
        <f t="shared" si="166"/>
        <v>40.182248178796776</v>
      </c>
      <c r="AB105" s="97">
        <f t="shared" si="167"/>
        <v>70.487412786348855</v>
      </c>
      <c r="AC105" s="69">
        <f t="shared" si="194"/>
        <v>0.78667535016712975</v>
      </c>
      <c r="AD105" s="93">
        <f t="shared" si="181"/>
        <v>111.89703489561971</v>
      </c>
      <c r="AE105" s="64">
        <f t="shared" si="195"/>
        <v>0.78667535016714396</v>
      </c>
      <c r="AF105" s="59"/>
      <c r="AG105" s="128">
        <f t="shared" si="182"/>
        <v>155</v>
      </c>
      <c r="AH105" s="128">
        <f t="shared" si="170"/>
        <v>0.78667535016712975</v>
      </c>
      <c r="AI105" s="128">
        <f t="shared" si="171"/>
        <v>0</v>
      </c>
      <c r="AJ105" s="128">
        <f t="shared" si="172"/>
        <v>0.78667535016714396</v>
      </c>
      <c r="AK105" s="61">
        <f t="shared" si="183"/>
        <v>-5</v>
      </c>
      <c r="AL105" s="59"/>
      <c r="AM105" s="134">
        <f t="shared" si="196"/>
        <v>-3.125E-2</v>
      </c>
      <c r="AN105" s="135">
        <f t="shared" si="197"/>
        <v>1.1286470977260654E-2</v>
      </c>
      <c r="AO105" s="135">
        <f t="shared" si="198"/>
        <v>0</v>
      </c>
      <c r="AP105" s="134">
        <f t="shared" si="199"/>
        <v>7.0801260421204937E-3</v>
      </c>
      <c r="AQ105" s="134">
        <f t="shared" si="200"/>
        <v>0</v>
      </c>
    </row>
    <row r="106" spans="1:43">
      <c r="A106" s="12"/>
      <c r="B106" s="5"/>
      <c r="C106" s="19" t="s">
        <v>24</v>
      </c>
      <c r="D106" s="19"/>
      <c r="E106" s="19"/>
      <c r="F106" s="5"/>
      <c r="G106" s="13"/>
      <c r="H106" s="13"/>
      <c r="I106" s="59"/>
      <c r="J106" s="12"/>
      <c r="K106" s="13"/>
      <c r="L106" s="12"/>
      <c r="M106" s="13"/>
      <c r="N106" s="13"/>
      <c r="O106" s="13"/>
      <c r="P106" s="14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59"/>
      <c r="AG106" s="59"/>
      <c r="AH106" s="59"/>
      <c r="AI106" s="59"/>
      <c r="AJ106" s="59"/>
      <c r="AK106" s="59"/>
      <c r="AL106" s="59"/>
      <c r="AM106" s="59"/>
      <c r="AN106" s="59"/>
      <c r="AO106" s="59"/>
      <c r="AP106" s="59"/>
      <c r="AQ106" s="59"/>
    </row>
    <row r="107" spans="1:43" ht="19.5" thickBot="1">
      <c r="A107" s="57"/>
      <c r="B107" s="58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9"/>
      <c r="AL107" s="57"/>
      <c r="AM107" s="57"/>
      <c r="AN107" s="57"/>
      <c r="AO107" s="57"/>
      <c r="AP107" s="57"/>
      <c r="AQ107" s="57"/>
    </row>
    <row r="108" spans="1:43">
      <c r="A108" s="15" t="s">
        <v>47</v>
      </c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9"/>
      <c r="AG108" s="59" t="s">
        <v>110</v>
      </c>
      <c r="AH108" s="59"/>
      <c r="AI108" s="59"/>
      <c r="AJ108" s="59"/>
      <c r="AK108" s="59"/>
      <c r="AL108" s="59"/>
      <c r="AM108" s="59"/>
      <c r="AN108" s="59"/>
      <c r="AO108" s="59"/>
      <c r="AP108" s="59"/>
      <c r="AQ108" s="59"/>
    </row>
    <row r="109" spans="1:43">
      <c r="A109" s="60" t="s">
        <v>107</v>
      </c>
      <c r="B109" s="2"/>
      <c r="C109" s="2"/>
      <c r="D109" s="60">
        <v>0</v>
      </c>
      <c r="E109" s="60">
        <v>0.5</v>
      </c>
      <c r="F109" s="60">
        <v>1</v>
      </c>
      <c r="G109" s="59"/>
      <c r="H109" s="59"/>
      <c r="I109" s="59"/>
      <c r="J109" s="59"/>
      <c r="K109" s="59"/>
      <c r="L109" s="59"/>
      <c r="M109" s="59"/>
      <c r="N109" s="59"/>
      <c r="O109" s="59"/>
      <c r="P109" s="2" t="s">
        <v>52</v>
      </c>
      <c r="Q109" s="2"/>
      <c r="R109" s="2"/>
      <c r="S109" s="138"/>
      <c r="T109" s="138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9"/>
      <c r="AG109" s="59"/>
      <c r="AH109" s="59"/>
      <c r="AI109" s="59"/>
      <c r="AJ109" s="59"/>
      <c r="AK109" s="59"/>
      <c r="AL109" s="59"/>
      <c r="AM109" s="59" t="s">
        <v>111</v>
      </c>
      <c r="AN109" s="59"/>
      <c r="AO109" s="59"/>
      <c r="AP109" s="59"/>
      <c r="AQ109" s="59"/>
    </row>
    <row r="110" spans="1:43" ht="135">
      <c r="A110" s="27"/>
      <c r="B110" s="28" t="s">
        <v>12</v>
      </c>
      <c r="C110" s="28" t="s">
        <v>8</v>
      </c>
      <c r="D110" s="143" t="s">
        <v>42</v>
      </c>
      <c r="E110" s="28" t="s">
        <v>3</v>
      </c>
      <c r="F110" s="28" t="s">
        <v>4</v>
      </c>
      <c r="G110" s="28" t="s">
        <v>41</v>
      </c>
      <c r="H110" s="35"/>
      <c r="I110" s="66" t="s">
        <v>1</v>
      </c>
      <c r="J110" s="66" t="s">
        <v>6</v>
      </c>
      <c r="K110" s="66" t="s">
        <v>5</v>
      </c>
      <c r="L110" s="35"/>
      <c r="M110" s="66" t="s">
        <v>21</v>
      </c>
      <c r="N110" s="66" t="s">
        <v>20</v>
      </c>
      <c r="O110" s="66" t="s">
        <v>22</v>
      </c>
      <c r="P110" s="46" t="s">
        <v>49</v>
      </c>
      <c r="Q110" s="46" t="s">
        <v>112</v>
      </c>
      <c r="R110" s="48" t="s">
        <v>18</v>
      </c>
      <c r="S110" s="48" t="s">
        <v>19</v>
      </c>
      <c r="T110" s="73" t="s">
        <v>83</v>
      </c>
      <c r="U110" s="35"/>
      <c r="V110" s="27"/>
      <c r="W110" s="27"/>
      <c r="X110" s="35"/>
      <c r="Y110" s="35"/>
      <c r="Z110" s="35"/>
      <c r="AA110" s="35"/>
      <c r="AB110" s="35"/>
      <c r="AC110" s="35"/>
      <c r="AD110" s="35"/>
      <c r="AE110" s="35"/>
      <c r="AF110" s="35"/>
      <c r="AG110" s="28" t="str">
        <f>F110</f>
        <v>span (cm)</v>
      </c>
      <c r="AH110" s="28" t="s">
        <v>113</v>
      </c>
      <c r="AI110" s="28" t="s">
        <v>114</v>
      </c>
      <c r="AJ110" s="28" t="s">
        <v>115</v>
      </c>
      <c r="AK110" s="136" t="str">
        <f>Q110</f>
        <v>distance to move stretcher to stern (cm)</v>
      </c>
      <c r="AL110" s="27"/>
      <c r="AM110" s="28" t="str">
        <f>AG110</f>
        <v>span (cm)</v>
      </c>
      <c r="AN110" s="28" t="str">
        <f t="shared" ref="AN110:AQ110" si="207">AH110</f>
        <v>Change in catch angle (deg)</v>
      </c>
      <c r="AO110" s="28" t="str">
        <f t="shared" si="207"/>
        <v>Change in finish angle (deg)</v>
      </c>
      <c r="AP110" s="28" t="str">
        <f t="shared" si="207"/>
        <v>Change in sweep angle (deg)</v>
      </c>
      <c r="AQ110" s="28" t="str">
        <f t="shared" si="207"/>
        <v>distance to move stretcher to stern (cm)</v>
      </c>
    </row>
    <row r="111" spans="1:43">
      <c r="A111" s="59"/>
      <c r="B111" s="20">
        <f>B$116</f>
        <v>183</v>
      </c>
      <c r="C111" s="63">
        <f t="shared" ref="C111" si="208">C$116</f>
        <v>162.89629500000001</v>
      </c>
      <c r="D111" s="140">
        <f t="shared" ref="D111:E111" si="209">5*D109+D116</f>
        <v>25</v>
      </c>
      <c r="E111" s="63">
        <f t="shared" si="209"/>
        <v>90.5</v>
      </c>
      <c r="F111" s="63">
        <f>5*F109+F116</f>
        <v>165</v>
      </c>
      <c r="G111" s="20">
        <f t="shared" ref="G111:G115" si="210">(E111+2)*2 -F111</f>
        <v>20</v>
      </c>
      <c r="H111" s="59"/>
      <c r="I111" s="9">
        <f t="shared" ref="I111:I121" si="211">DEGREES(ACOS((F111-D111)/2/(E111+2)))</f>
        <v>40.820891043317005</v>
      </c>
      <c r="J111" s="9">
        <f t="shared" ref="J111:J121" si="212">DEGREES(C111/(E111-6+2))</f>
        <v>107.8990774776649</v>
      </c>
      <c r="K111" s="9">
        <f t="shared" ref="K111:K115" si="213">J111-I111</f>
        <v>67.078186434347899</v>
      </c>
      <c r="L111" s="59"/>
      <c r="M111" s="9">
        <f t="shared" ref="M111:M121" si="214">K111-K$116</f>
        <v>-2.6225510018338127</v>
      </c>
      <c r="N111" s="69">
        <f t="shared" ref="N111:O121" si="215">I111-I$116</f>
        <v>-0.58873106595385138</v>
      </c>
      <c r="O111" s="9">
        <f t="shared" si="215"/>
        <v>-3.2112820677876641</v>
      </c>
      <c r="P111" s="62">
        <f t="shared" ref="P111:P121" si="216">((F111-D111)/2)*TAN(RADIANS(I111))</f>
        <v>60.466933112239104</v>
      </c>
      <c r="Q111" s="62">
        <f>P$116 -P111</f>
        <v>-0.93752861328582071</v>
      </c>
      <c r="R111" s="61">
        <f t="shared" ref="R111:R121" si="217">(E111+2)*SIN(RADIANS(K111))</f>
        <v>85.195940269703897</v>
      </c>
      <c r="S111" s="61">
        <f t="shared" ref="S111:S121" si="218">(F111/2)- (E111+2)*COS(RADIANS(K111))</f>
        <v>46.473596327678692</v>
      </c>
      <c r="T111" s="79">
        <f>D111-D$116</f>
        <v>0</v>
      </c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9"/>
      <c r="AG111" s="128">
        <f>F111</f>
        <v>165</v>
      </c>
      <c r="AH111" s="128">
        <f>M111</f>
        <v>-2.6225510018338127</v>
      </c>
      <c r="AI111" s="128">
        <f>N111</f>
        <v>-0.58873106595385138</v>
      </c>
      <c r="AJ111" s="128">
        <f t="shared" ref="AJ111:AJ121" si="219">O111</f>
        <v>-3.2112820677876641</v>
      </c>
      <c r="AK111" s="128">
        <f t="shared" ref="AK111:AK121" si="220">Q111</f>
        <v>-0.93752861328582071</v>
      </c>
      <c r="AL111" s="130"/>
      <c r="AM111" s="134">
        <f t="shared" ref="AM111:AM115" si="221">AG111/AG$116-1</f>
        <v>3.125E-2</v>
      </c>
      <c r="AN111" s="135">
        <f t="shared" ref="AN111:AN115" si="222">K111/K$116-1</f>
        <v>-3.762587166649467E-2</v>
      </c>
      <c r="AO111" s="135">
        <f t="shared" ref="AO111:AP115" si="223">I111/I$116-1</f>
        <v>-1.4217252801784097E-2</v>
      </c>
      <c r="AP111" s="135">
        <f t="shared" si="223"/>
        <v>-2.8901734104046395E-2</v>
      </c>
      <c r="AQ111" s="134">
        <f t="shared" ref="AQ111:AQ115" si="224">(Q111+60)/(Q$116+60) -1</f>
        <v>-1.5625476888097012E-2</v>
      </c>
    </row>
    <row r="112" spans="1:43">
      <c r="A112" s="59"/>
      <c r="B112" s="20">
        <f t="shared" ref="B112:C115" si="225">B$116</f>
        <v>183</v>
      </c>
      <c r="C112" s="63">
        <f t="shared" si="225"/>
        <v>162.89629500000001</v>
      </c>
      <c r="D112" s="140">
        <f t="shared" ref="D112:E112" si="226">4*D109+D116</f>
        <v>25</v>
      </c>
      <c r="E112" s="63">
        <f t="shared" si="226"/>
        <v>90</v>
      </c>
      <c r="F112" s="63">
        <f>4*F109+F116</f>
        <v>164</v>
      </c>
      <c r="G112" s="20">
        <f t="shared" si="210"/>
        <v>20</v>
      </c>
      <c r="H112" s="59"/>
      <c r="I112" s="9">
        <f t="shared" si="211"/>
        <v>40.936625372691601</v>
      </c>
      <c r="J112" s="9">
        <f t="shared" si="212"/>
        <v>108.52639769555832</v>
      </c>
      <c r="K112" s="9">
        <f t="shared" si="213"/>
        <v>67.589772322866708</v>
      </c>
      <c r="L112" s="59"/>
      <c r="M112" s="9">
        <f t="shared" si="214"/>
        <v>-2.1109651133150038</v>
      </c>
      <c r="N112" s="69">
        <f t="shared" si="215"/>
        <v>-0.47299673657925467</v>
      </c>
      <c r="O112" s="9">
        <f t="shared" si="215"/>
        <v>-2.5839618498942514</v>
      </c>
      <c r="P112" s="62">
        <f t="shared" si="216"/>
        <v>60.28059389223035</v>
      </c>
      <c r="Q112" s="62">
        <f t="shared" ref="Q112:Q121" si="227">P$116 -P112</f>
        <v>-0.75118939327706613</v>
      </c>
      <c r="R112" s="61">
        <f t="shared" si="217"/>
        <v>85.05197556665486</v>
      </c>
      <c r="S112" s="61">
        <f t="shared" si="218"/>
        <v>46.926342474598634</v>
      </c>
      <c r="T112" s="79">
        <f t="shared" ref="T112:T121" si="228">D112-D$116</f>
        <v>0</v>
      </c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  <c r="AG112" s="128">
        <f t="shared" ref="AG112:AG121" si="229">F112</f>
        <v>164</v>
      </c>
      <c r="AH112" s="128">
        <f t="shared" ref="AH112:AI121" si="230">M112</f>
        <v>-2.1109651133150038</v>
      </c>
      <c r="AI112" s="128">
        <f t="shared" si="230"/>
        <v>-0.47299673657925467</v>
      </c>
      <c r="AJ112" s="128">
        <f t="shared" si="219"/>
        <v>-2.5839618498942514</v>
      </c>
      <c r="AK112" s="128">
        <f t="shared" si="220"/>
        <v>-0.75118939327706613</v>
      </c>
      <c r="AL112" s="130"/>
      <c r="AM112" s="134">
        <f t="shared" si="221"/>
        <v>2.4999999999999911E-2</v>
      </c>
      <c r="AN112" s="135">
        <f t="shared" si="222"/>
        <v>-3.0286123087977512E-2</v>
      </c>
      <c r="AO112" s="135">
        <f t="shared" si="223"/>
        <v>-1.1422387176852733E-2</v>
      </c>
      <c r="AP112" s="135">
        <f t="shared" si="223"/>
        <v>-2.3255813953488413E-2</v>
      </c>
      <c r="AQ112" s="134">
        <f t="shared" si="224"/>
        <v>-1.2519823221284421E-2</v>
      </c>
    </row>
    <row r="113" spans="1:43">
      <c r="A113" s="59"/>
      <c r="B113" s="20">
        <f t="shared" si="225"/>
        <v>183</v>
      </c>
      <c r="C113" s="63">
        <f t="shared" si="225"/>
        <v>162.89629500000001</v>
      </c>
      <c r="D113" s="140">
        <f t="shared" ref="D113:E113" si="231">3*D109+D116</f>
        <v>25</v>
      </c>
      <c r="E113" s="63">
        <f t="shared" si="231"/>
        <v>89.5</v>
      </c>
      <c r="F113" s="63">
        <f>3*F109+F116</f>
        <v>163</v>
      </c>
      <c r="G113" s="20">
        <f t="shared" si="210"/>
        <v>20</v>
      </c>
      <c r="H113" s="59"/>
      <c r="I113" s="9">
        <f t="shared" si="211"/>
        <v>41.053351236293722</v>
      </c>
      <c r="J113" s="9">
        <f t="shared" si="212"/>
        <v>109.16105499202357</v>
      </c>
      <c r="K113" s="9">
        <f t="shared" si="213"/>
        <v>68.107703755729844</v>
      </c>
      <c r="L113" s="59"/>
      <c r="M113" s="9">
        <f t="shared" si="214"/>
        <v>-1.5930336804518674</v>
      </c>
      <c r="N113" s="69">
        <f t="shared" si="215"/>
        <v>-0.35627087297713445</v>
      </c>
      <c r="O113" s="9">
        <f t="shared" si="215"/>
        <v>-1.9493045534290019</v>
      </c>
      <c r="P113" s="62">
        <f t="shared" si="216"/>
        <v>60.093676872030386</v>
      </c>
      <c r="Q113" s="62">
        <f t="shared" si="227"/>
        <v>-0.56427237307710243</v>
      </c>
      <c r="R113" s="61">
        <f t="shared" si="217"/>
        <v>84.901605226745204</v>
      </c>
      <c r="S113" s="61">
        <f t="shared" si="218"/>
        <v>47.383033107822847</v>
      </c>
      <c r="T113" s="79">
        <f t="shared" si="228"/>
        <v>0</v>
      </c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59"/>
      <c r="AF113" s="59"/>
      <c r="AG113" s="128">
        <f t="shared" si="229"/>
        <v>163</v>
      </c>
      <c r="AH113" s="128">
        <f t="shared" si="230"/>
        <v>-1.5930336804518674</v>
      </c>
      <c r="AI113" s="128">
        <f t="shared" si="230"/>
        <v>-0.35627087297713445</v>
      </c>
      <c r="AJ113" s="128">
        <f t="shared" si="219"/>
        <v>-1.9493045534290019</v>
      </c>
      <c r="AK113" s="128">
        <f t="shared" si="220"/>
        <v>-0.56427237307710243</v>
      </c>
      <c r="AL113" s="130"/>
      <c r="AM113" s="134">
        <f t="shared" si="221"/>
        <v>1.8750000000000044E-2</v>
      </c>
      <c r="AN113" s="135">
        <f t="shared" si="222"/>
        <v>-2.2855334664291793E-2</v>
      </c>
      <c r="AO113" s="135">
        <f t="shared" si="223"/>
        <v>-8.6035770149510693E-3</v>
      </c>
      <c r="AP113" s="135">
        <f t="shared" si="223"/>
        <v>-1.7543859649122862E-2</v>
      </c>
      <c r="AQ113" s="134">
        <f t="shared" si="224"/>
        <v>-9.4045395512850627E-3</v>
      </c>
    </row>
    <row r="114" spans="1:43">
      <c r="A114" s="59"/>
      <c r="B114" s="20">
        <f t="shared" si="225"/>
        <v>183</v>
      </c>
      <c r="C114" s="63">
        <f t="shared" si="225"/>
        <v>162.89629500000001</v>
      </c>
      <c r="D114" s="140">
        <f t="shared" ref="D114:E114" si="232">2*D109+D116</f>
        <v>25</v>
      </c>
      <c r="E114" s="63">
        <f t="shared" si="232"/>
        <v>89</v>
      </c>
      <c r="F114" s="63">
        <f>2*F109+F116</f>
        <v>162</v>
      </c>
      <c r="G114" s="20">
        <f t="shared" si="210"/>
        <v>20</v>
      </c>
      <c r="H114" s="59"/>
      <c r="I114" s="9">
        <f t="shared" si="211"/>
        <v>41.171082896368539</v>
      </c>
      <c r="J114" s="9">
        <f t="shared" si="212"/>
        <v>109.80317884491782</v>
      </c>
      <c r="K114" s="9">
        <f t="shared" si="213"/>
        <v>68.632095948549278</v>
      </c>
      <c r="L114" s="59"/>
      <c r="M114" s="9">
        <f t="shared" si="214"/>
        <v>-1.0686414876324335</v>
      </c>
      <c r="N114" s="69">
        <f t="shared" si="215"/>
        <v>-0.23853921290231739</v>
      </c>
      <c r="O114" s="9">
        <f t="shared" si="215"/>
        <v>-1.3071807005347438</v>
      </c>
      <c r="P114" s="62">
        <f t="shared" si="216"/>
        <v>59.906176643147553</v>
      </c>
      <c r="Q114" s="62">
        <f t="shared" si="227"/>
        <v>-0.37677214419426974</v>
      </c>
      <c r="R114" s="61">
        <f t="shared" si="217"/>
        <v>84.744666045833171</v>
      </c>
      <c r="S114" s="61">
        <f t="shared" si="218"/>
        <v>47.84367968576413</v>
      </c>
      <c r="T114" s="79">
        <f t="shared" si="228"/>
        <v>0</v>
      </c>
      <c r="U114" s="59"/>
      <c r="V114" s="59"/>
      <c r="W114" s="59"/>
      <c r="X114" s="59"/>
      <c r="Y114" s="59"/>
      <c r="Z114" s="59"/>
      <c r="AA114" s="59"/>
      <c r="AB114" s="59"/>
      <c r="AC114" s="59"/>
      <c r="AD114" s="59"/>
      <c r="AE114" s="59"/>
      <c r="AF114" s="59"/>
      <c r="AG114" s="128">
        <f t="shared" si="229"/>
        <v>162</v>
      </c>
      <c r="AH114" s="128">
        <f t="shared" si="230"/>
        <v>-1.0686414876324335</v>
      </c>
      <c r="AI114" s="128">
        <f t="shared" si="230"/>
        <v>-0.23853921290231739</v>
      </c>
      <c r="AJ114" s="128">
        <f t="shared" si="219"/>
        <v>-1.3071807005347438</v>
      </c>
      <c r="AK114" s="128">
        <f t="shared" si="220"/>
        <v>-0.37677214419426974</v>
      </c>
      <c r="AL114" s="130"/>
      <c r="AM114" s="134">
        <f t="shared" si="221"/>
        <v>1.2499999999999956E-2</v>
      </c>
      <c r="AN114" s="135">
        <f t="shared" si="222"/>
        <v>-1.5331853391233996E-2</v>
      </c>
      <c r="AO114" s="135">
        <f t="shared" si="223"/>
        <v>-5.7604778974525983E-3</v>
      </c>
      <c r="AP114" s="135">
        <f t="shared" si="223"/>
        <v>-1.176470588235301E-2</v>
      </c>
      <c r="AQ114" s="134">
        <f t="shared" si="224"/>
        <v>-6.2795357365711402E-3</v>
      </c>
    </row>
    <row r="115" spans="1:43">
      <c r="A115" s="59"/>
      <c r="B115" s="20">
        <f t="shared" si="225"/>
        <v>183</v>
      </c>
      <c r="C115" s="63">
        <f t="shared" si="225"/>
        <v>162.89629500000001</v>
      </c>
      <c r="D115" s="140">
        <f t="shared" ref="D115:E115" si="233">D116+D109</f>
        <v>25</v>
      </c>
      <c r="E115" s="63">
        <f t="shared" si="233"/>
        <v>88.5</v>
      </c>
      <c r="F115" s="63">
        <f>F116+F109</f>
        <v>161</v>
      </c>
      <c r="G115" s="20">
        <f t="shared" si="210"/>
        <v>20</v>
      </c>
      <c r="H115" s="59"/>
      <c r="I115" s="9">
        <f t="shared" si="211"/>
        <v>41.289834904511117</v>
      </c>
      <c r="J115" s="9">
        <f t="shared" si="212"/>
        <v>110.4529017966629</v>
      </c>
      <c r="K115" s="9">
        <f t="shared" si="213"/>
        <v>69.163066892151789</v>
      </c>
      <c r="L115" s="59"/>
      <c r="M115" s="9">
        <f t="shared" si="214"/>
        <v>-0.53767054402992187</v>
      </c>
      <c r="N115" s="69">
        <f t="shared" si="215"/>
        <v>-0.11978720475973859</v>
      </c>
      <c r="O115" s="9">
        <f t="shared" si="215"/>
        <v>-0.65745774878966756</v>
      </c>
      <c r="P115" s="62">
        <f t="shared" si="216"/>
        <v>59.718087712183141</v>
      </c>
      <c r="Q115" s="62">
        <f t="shared" si="227"/>
        <v>-0.18868321322985793</v>
      </c>
      <c r="R115" s="61">
        <f t="shared" si="217"/>
        <v>84.580990373038503</v>
      </c>
      <c r="S115" s="61">
        <f t="shared" si="218"/>
        <v>48.308291944726385</v>
      </c>
      <c r="T115" s="79">
        <f t="shared" si="228"/>
        <v>0</v>
      </c>
      <c r="U115" s="59"/>
      <c r="V115" s="59"/>
      <c r="W115" s="59"/>
      <c r="X115" s="59"/>
      <c r="Y115" s="59"/>
      <c r="Z115" s="59"/>
      <c r="AA115" s="59"/>
      <c r="AB115" s="59"/>
      <c r="AC115" s="59"/>
      <c r="AD115" s="59"/>
      <c r="AE115" s="59"/>
      <c r="AF115" s="59"/>
      <c r="AG115" s="128">
        <f t="shared" si="229"/>
        <v>161</v>
      </c>
      <c r="AH115" s="128">
        <f t="shared" si="230"/>
        <v>-0.53767054402992187</v>
      </c>
      <c r="AI115" s="128">
        <f t="shared" si="230"/>
        <v>-0.11978720475973859</v>
      </c>
      <c r="AJ115" s="128">
        <f t="shared" si="219"/>
        <v>-0.65745774878966756</v>
      </c>
      <c r="AK115" s="128">
        <f t="shared" si="220"/>
        <v>-0.18868321322985793</v>
      </c>
      <c r="AL115" s="130"/>
      <c r="AM115" s="134">
        <f t="shared" si="221"/>
        <v>6.2500000000000888E-3</v>
      </c>
      <c r="AN115" s="135">
        <f t="shared" si="222"/>
        <v>-7.7139864484535581E-3</v>
      </c>
      <c r="AO115" s="135">
        <f t="shared" si="223"/>
        <v>-2.8927384182266813E-3</v>
      </c>
      <c r="AP115" s="135">
        <f t="shared" si="223"/>
        <v>-5.9171597633136397E-3</v>
      </c>
      <c r="AQ115" s="134">
        <f t="shared" si="224"/>
        <v>-3.1447202204976099E-3</v>
      </c>
    </row>
    <row r="116" spans="1:43">
      <c r="A116" s="59"/>
      <c r="B116" s="60">
        <v>183</v>
      </c>
      <c r="C116" s="61">
        <f>100*(0.297865*B116/100+1.08387)</f>
        <v>162.89629500000001</v>
      </c>
      <c r="D116" s="72">
        <v>25</v>
      </c>
      <c r="E116" s="72">
        <v>88</v>
      </c>
      <c r="F116" s="72">
        <v>160</v>
      </c>
      <c r="G116" s="20">
        <f>(E116+2)*2 -F116</f>
        <v>20</v>
      </c>
      <c r="H116" s="59"/>
      <c r="I116" s="9">
        <f t="shared" si="211"/>
        <v>41.409622109270856</v>
      </c>
      <c r="J116" s="9">
        <f t="shared" si="212"/>
        <v>111.11035954545257</v>
      </c>
      <c r="K116" s="9">
        <f>J116-I116</f>
        <v>69.700737436181711</v>
      </c>
      <c r="L116" s="59"/>
      <c r="M116" s="9">
        <f t="shared" si="214"/>
        <v>0</v>
      </c>
      <c r="N116" s="69">
        <f t="shared" si="215"/>
        <v>0</v>
      </c>
      <c r="O116" s="9">
        <f t="shared" si="215"/>
        <v>0</v>
      </c>
      <c r="P116" s="62">
        <f t="shared" si="216"/>
        <v>59.529404498953284</v>
      </c>
      <c r="Q116" s="62">
        <f t="shared" si="227"/>
        <v>0</v>
      </c>
      <c r="R116" s="61">
        <f t="shared" si="217"/>
        <v>84.410405985170328</v>
      </c>
      <c r="S116" s="61">
        <f t="shared" si="218"/>
        <v>48.776877775937891</v>
      </c>
      <c r="T116" s="79">
        <f t="shared" si="228"/>
        <v>0</v>
      </c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59"/>
      <c r="AF116" s="59"/>
      <c r="AG116" s="128">
        <f t="shared" si="229"/>
        <v>160</v>
      </c>
      <c r="AH116" s="128">
        <f t="shared" si="230"/>
        <v>0</v>
      </c>
      <c r="AI116" s="128">
        <f t="shared" si="230"/>
        <v>0</v>
      </c>
      <c r="AJ116" s="128">
        <f t="shared" si="219"/>
        <v>0</v>
      </c>
      <c r="AK116" s="128">
        <f t="shared" si="220"/>
        <v>0</v>
      </c>
      <c r="AL116" s="130"/>
      <c r="AM116" s="134">
        <f>AG116/AG$116-1</f>
        <v>0</v>
      </c>
      <c r="AN116" s="135">
        <f>K116/K$116-1</f>
        <v>0</v>
      </c>
      <c r="AO116" s="135">
        <f>I116/I$116-1</f>
        <v>0</v>
      </c>
      <c r="AP116" s="135">
        <f>J116/J$116-1</f>
        <v>0</v>
      </c>
      <c r="AQ116" s="134">
        <f>(Q116+60)/(Q$116+60) -1</f>
        <v>0</v>
      </c>
    </row>
    <row r="117" spans="1:43">
      <c r="A117" s="59"/>
      <c r="B117" s="20">
        <f>B$116</f>
        <v>183</v>
      </c>
      <c r="C117" s="63">
        <f t="shared" ref="C117" si="234">C$116</f>
        <v>162.89629500000001</v>
      </c>
      <c r="D117" s="140">
        <f t="shared" ref="D117:E117" si="235">D116-D109</f>
        <v>25</v>
      </c>
      <c r="E117" s="63">
        <f t="shared" si="235"/>
        <v>87.5</v>
      </c>
      <c r="F117" s="63">
        <f>F116-F109</f>
        <v>159</v>
      </c>
      <c r="G117" s="20">
        <f t="shared" ref="G117:G121" si="236">(E117+2)*2 -F117</f>
        <v>20</v>
      </c>
      <c r="H117" s="59"/>
      <c r="I117" s="9">
        <f t="shared" si="211"/>
        <v>41.530459664002187</v>
      </c>
      <c r="J117" s="9">
        <f t="shared" si="212"/>
        <v>111.77569103973671</v>
      </c>
      <c r="K117" s="9">
        <f t="shared" ref="K117:K121" si="237">J117-I117</f>
        <v>70.245231375734534</v>
      </c>
      <c r="L117" s="59"/>
      <c r="M117" s="9">
        <f t="shared" si="214"/>
        <v>0.54449393955282233</v>
      </c>
      <c r="N117" s="69">
        <f t="shared" si="215"/>
        <v>0.12083755473133095</v>
      </c>
      <c r="O117" s="9">
        <f t="shared" si="215"/>
        <v>0.66533149428414617</v>
      </c>
      <c r="P117" s="62">
        <f t="shared" si="216"/>
        <v>59.340121334557445</v>
      </c>
      <c r="Q117" s="62">
        <f t="shared" si="227"/>
        <v>0.18928316439583881</v>
      </c>
      <c r="R117" s="61">
        <f t="shared" si="217"/>
        <v>84.232735957959903</v>
      </c>
      <c r="S117" s="61">
        <f t="shared" si="218"/>
        <v>49.249443095430323</v>
      </c>
      <c r="T117" s="79">
        <f t="shared" si="228"/>
        <v>0</v>
      </c>
      <c r="U117" s="59"/>
      <c r="V117" s="59"/>
      <c r="W117" s="59"/>
      <c r="X117" s="59"/>
      <c r="Y117" s="59"/>
      <c r="Z117" s="59"/>
      <c r="AA117" s="59"/>
      <c r="AB117" s="59"/>
      <c r="AC117" s="59"/>
      <c r="AD117" s="59"/>
      <c r="AE117" s="59"/>
      <c r="AF117" s="59"/>
      <c r="AG117" s="128">
        <f t="shared" si="229"/>
        <v>159</v>
      </c>
      <c r="AH117" s="128">
        <f t="shared" si="230"/>
        <v>0.54449393955282233</v>
      </c>
      <c r="AI117" s="128">
        <f t="shared" si="230"/>
        <v>0.12083755473133095</v>
      </c>
      <c r="AJ117" s="128">
        <f t="shared" si="219"/>
        <v>0.66533149428414617</v>
      </c>
      <c r="AK117" s="128">
        <f t="shared" si="220"/>
        <v>0.18928316439583881</v>
      </c>
      <c r="AL117" s="130"/>
      <c r="AM117" s="134">
        <f t="shared" ref="AM117:AM121" si="238">AG117/AG$116-1</f>
        <v>-6.2499999999999778E-3</v>
      </c>
      <c r="AN117" s="135">
        <f t="shared" ref="AN117:AN121" si="239">K117/K$116-1</f>
        <v>7.8118820486132723E-3</v>
      </c>
      <c r="AO117" s="135">
        <f t="shared" ref="AO117:AP121" si="240">I117/I$116-1</f>
        <v>2.9181032952310115E-3</v>
      </c>
      <c r="AP117" s="135">
        <f t="shared" si="240"/>
        <v>5.9880239520957446E-3</v>
      </c>
      <c r="AQ117" s="134">
        <f t="shared" ref="AQ117:AQ121" si="241">(Q117+60)/(Q$116+60) -1</f>
        <v>3.1547194065972839E-3</v>
      </c>
    </row>
    <row r="118" spans="1:43">
      <c r="A118" s="59"/>
      <c r="B118" s="20">
        <f t="shared" ref="B118:C121" si="242">B$116</f>
        <v>183</v>
      </c>
      <c r="C118" s="63">
        <f t="shared" si="242"/>
        <v>162.89629500000001</v>
      </c>
      <c r="D118" s="140">
        <f t="shared" ref="D118:E118" si="243">D116-2*D109</f>
        <v>25</v>
      </c>
      <c r="E118" s="63">
        <f t="shared" si="243"/>
        <v>87</v>
      </c>
      <c r="F118" s="63">
        <f>F116-2*F109</f>
        <v>158</v>
      </c>
      <c r="G118" s="20">
        <f t="shared" si="236"/>
        <v>20</v>
      </c>
      <c r="H118" s="59"/>
      <c r="I118" s="9">
        <f t="shared" si="211"/>
        <v>41.652363034970818</v>
      </c>
      <c r="J118" s="9">
        <f t="shared" si="212"/>
        <v>112.44903857612067</v>
      </c>
      <c r="K118" s="9">
        <f t="shared" si="237"/>
        <v>70.796675541149853</v>
      </c>
      <c r="L118" s="59"/>
      <c r="M118" s="9">
        <f t="shared" si="214"/>
        <v>1.0959381049681411</v>
      </c>
      <c r="N118" s="69">
        <f t="shared" si="215"/>
        <v>0.24274092569996242</v>
      </c>
      <c r="O118" s="9">
        <f t="shared" si="215"/>
        <v>1.3386790306681036</v>
      </c>
      <c r="P118" s="62">
        <f t="shared" si="216"/>
        <v>59.150232459391049</v>
      </c>
      <c r="Q118" s="62">
        <f t="shared" si="227"/>
        <v>0.37917203956223489</v>
      </c>
      <c r="R118" s="61">
        <f t="shared" si="217"/>
        <v>84.047798534069941</v>
      </c>
      <c r="S118" s="61">
        <f t="shared" si="218"/>
        <v>49.725991706355089</v>
      </c>
      <c r="T118" s="79">
        <f t="shared" si="228"/>
        <v>0</v>
      </c>
      <c r="U118" s="59"/>
      <c r="V118" s="59"/>
      <c r="W118" s="59"/>
      <c r="X118" s="59"/>
      <c r="Y118" s="59"/>
      <c r="Z118" s="59"/>
      <c r="AA118" s="59"/>
      <c r="AB118" s="59"/>
      <c r="AC118" s="59"/>
      <c r="AD118" s="59"/>
      <c r="AE118" s="59"/>
      <c r="AF118" s="59"/>
      <c r="AG118" s="128">
        <f t="shared" si="229"/>
        <v>158</v>
      </c>
      <c r="AH118" s="128">
        <f t="shared" si="230"/>
        <v>1.0959381049681411</v>
      </c>
      <c r="AI118" s="128">
        <f t="shared" si="230"/>
        <v>0.24274092569996242</v>
      </c>
      <c r="AJ118" s="128">
        <f t="shared" si="219"/>
        <v>1.3386790306681036</v>
      </c>
      <c r="AK118" s="128">
        <f t="shared" si="220"/>
        <v>0.37917203956223489</v>
      </c>
      <c r="AL118" s="130"/>
      <c r="AM118" s="134">
        <f t="shared" si="238"/>
        <v>-1.2499999999999956E-2</v>
      </c>
      <c r="AN118" s="135">
        <f t="shared" si="239"/>
        <v>1.5723479338674018E-2</v>
      </c>
      <c r="AO118" s="135">
        <f t="shared" si="240"/>
        <v>5.8619449619565778E-3</v>
      </c>
      <c r="AP118" s="135">
        <f t="shared" si="240"/>
        <v>1.2048192771084265E-2</v>
      </c>
      <c r="AQ118" s="134">
        <f t="shared" si="241"/>
        <v>6.3195339927040184E-3</v>
      </c>
    </row>
    <row r="119" spans="1:43">
      <c r="A119" s="59"/>
      <c r="B119" s="20">
        <f t="shared" si="242"/>
        <v>183</v>
      </c>
      <c r="C119" s="63">
        <f t="shared" si="242"/>
        <v>162.89629500000001</v>
      </c>
      <c r="D119" s="140">
        <f t="shared" ref="D119:E119" si="244">D116-3*D109</f>
        <v>25</v>
      </c>
      <c r="E119" s="63">
        <f t="shared" si="244"/>
        <v>86.5</v>
      </c>
      <c r="F119" s="63">
        <f>F116-3*F109</f>
        <v>157</v>
      </c>
      <c r="G119" s="20">
        <f t="shared" si="236"/>
        <v>20</v>
      </c>
      <c r="H119" s="59"/>
      <c r="I119" s="9">
        <f t="shared" si="211"/>
        <v>41.775348009725583</v>
      </c>
      <c r="J119" s="9">
        <f t="shared" si="212"/>
        <v>113.13054790082442</v>
      </c>
      <c r="K119" s="9">
        <f t="shared" si="237"/>
        <v>71.355199891098835</v>
      </c>
      <c r="L119" s="59"/>
      <c r="M119" s="9">
        <f t="shared" si="214"/>
        <v>1.6544624549171232</v>
      </c>
      <c r="N119" s="69">
        <f t="shared" si="215"/>
        <v>0.36572590045472708</v>
      </c>
      <c r="O119" s="9">
        <f t="shared" si="215"/>
        <v>2.0201883553718574</v>
      </c>
      <c r="P119" s="62">
        <f t="shared" si="216"/>
        <v>58.959732021100635</v>
      </c>
      <c r="Q119" s="62">
        <f t="shared" si="227"/>
        <v>0.56967247785264874</v>
      </c>
      <c r="R119" s="61">
        <f t="shared" si="217"/>
        <v>83.855406987858771</v>
      </c>
      <c r="S119" s="61">
        <f t="shared" si="218"/>
        <v>50.206525153304923</v>
      </c>
      <c r="T119" s="79">
        <f t="shared" si="228"/>
        <v>0</v>
      </c>
      <c r="U119" s="59"/>
      <c r="V119" s="59"/>
      <c r="W119" s="59"/>
      <c r="X119" s="59"/>
      <c r="Y119" s="59"/>
      <c r="Z119" s="59"/>
      <c r="AA119" s="59"/>
      <c r="AB119" s="59"/>
      <c r="AC119" s="59"/>
      <c r="AD119" s="59"/>
      <c r="AE119" s="59"/>
      <c r="AF119" s="59"/>
      <c r="AG119" s="128">
        <f t="shared" si="229"/>
        <v>157</v>
      </c>
      <c r="AH119" s="128">
        <f t="shared" si="230"/>
        <v>1.6544624549171232</v>
      </c>
      <c r="AI119" s="128">
        <f t="shared" si="230"/>
        <v>0.36572590045472708</v>
      </c>
      <c r="AJ119" s="128">
        <f t="shared" si="219"/>
        <v>2.0201883553718574</v>
      </c>
      <c r="AK119" s="128">
        <f t="shared" si="220"/>
        <v>0.56967247785264874</v>
      </c>
      <c r="AL119" s="130"/>
      <c r="AM119" s="134">
        <f t="shared" si="238"/>
        <v>-1.8750000000000044E-2</v>
      </c>
      <c r="AN119" s="135">
        <f t="shared" si="239"/>
        <v>2.3736656393800182E-2</v>
      </c>
      <c r="AO119" s="135">
        <f t="shared" si="240"/>
        <v>8.8319062533257497E-3</v>
      </c>
      <c r="AP119" s="135">
        <f t="shared" si="240"/>
        <v>1.8181818181818077E-2</v>
      </c>
      <c r="AQ119" s="134">
        <f t="shared" si="241"/>
        <v>9.4945412975442345E-3</v>
      </c>
    </row>
    <row r="120" spans="1:43">
      <c r="A120" s="59"/>
      <c r="B120" s="20">
        <f t="shared" si="242"/>
        <v>183</v>
      </c>
      <c r="C120" s="63">
        <f t="shared" si="242"/>
        <v>162.89629500000001</v>
      </c>
      <c r="D120" s="140">
        <f t="shared" ref="D120:E120" si="245">D116-4*D109</f>
        <v>25</v>
      </c>
      <c r="E120" s="63">
        <f t="shared" si="245"/>
        <v>86</v>
      </c>
      <c r="F120" s="63">
        <f>F116-4*F109</f>
        <v>156</v>
      </c>
      <c r="G120" s="20">
        <f t="shared" si="236"/>
        <v>20</v>
      </c>
      <c r="H120" s="59"/>
      <c r="I120" s="9">
        <f t="shared" si="211"/>
        <v>41.899430705746099</v>
      </c>
      <c r="J120" s="9">
        <f t="shared" si="212"/>
        <v>113.82036831485384</v>
      </c>
      <c r="K120" s="9">
        <f t="shared" si="237"/>
        <v>71.920937609107739</v>
      </c>
      <c r="L120" s="59"/>
      <c r="M120" s="9">
        <f t="shared" si="214"/>
        <v>2.2202001729260274</v>
      </c>
      <c r="N120" s="69">
        <f t="shared" si="215"/>
        <v>0.48980859647524255</v>
      </c>
      <c r="O120" s="9">
        <f t="shared" si="215"/>
        <v>2.71000876940127</v>
      </c>
      <c r="P120" s="62">
        <f t="shared" si="216"/>
        <v>58.768614072479217</v>
      </c>
      <c r="Q120" s="62">
        <f t="shared" si="227"/>
        <v>0.76079042647406681</v>
      </c>
      <c r="R120" s="61">
        <f t="shared" si="217"/>
        <v>83.655369486884823</v>
      </c>
      <c r="S120" s="61">
        <f t="shared" si="218"/>
        <v>50.691042568183242</v>
      </c>
      <c r="T120" s="79">
        <f t="shared" si="228"/>
        <v>0</v>
      </c>
      <c r="U120" s="59"/>
      <c r="V120" s="59"/>
      <c r="W120" s="59"/>
      <c r="X120" s="59"/>
      <c r="Y120" s="59"/>
      <c r="Z120" s="59"/>
      <c r="AA120" s="59"/>
      <c r="AB120" s="59"/>
      <c r="AC120" s="59"/>
      <c r="AD120" s="59"/>
      <c r="AE120" s="59"/>
      <c r="AF120" s="59"/>
      <c r="AG120" s="128">
        <f t="shared" si="229"/>
        <v>156</v>
      </c>
      <c r="AH120" s="128">
        <f t="shared" si="230"/>
        <v>2.2202001729260274</v>
      </c>
      <c r="AI120" s="128">
        <f t="shared" si="230"/>
        <v>0.48980859647524255</v>
      </c>
      <c r="AJ120" s="128">
        <f t="shared" si="219"/>
        <v>2.71000876940127</v>
      </c>
      <c r="AK120" s="128">
        <f t="shared" si="220"/>
        <v>0.76079042647406681</v>
      </c>
      <c r="AL120" s="130"/>
      <c r="AM120" s="134">
        <f t="shared" si="238"/>
        <v>-2.5000000000000022E-2</v>
      </c>
      <c r="AN120" s="135">
        <f t="shared" si="239"/>
        <v>3.1853324004768924E-2</v>
      </c>
      <c r="AO120" s="135">
        <f t="shared" si="240"/>
        <v>1.182837638997869E-2</v>
      </c>
      <c r="AP120" s="135">
        <f t="shared" si="240"/>
        <v>2.4390243902438824E-2</v>
      </c>
      <c r="AQ120" s="134">
        <f t="shared" si="241"/>
        <v>1.2679840441234491E-2</v>
      </c>
    </row>
    <row r="121" spans="1:43">
      <c r="A121" s="59"/>
      <c r="B121" s="20">
        <f t="shared" si="242"/>
        <v>183</v>
      </c>
      <c r="C121" s="63">
        <f t="shared" si="242"/>
        <v>162.89629500000001</v>
      </c>
      <c r="D121" s="140">
        <f t="shared" ref="D121:E121" si="246">D116-5*D109</f>
        <v>25</v>
      </c>
      <c r="E121" s="63">
        <f t="shared" si="246"/>
        <v>85.5</v>
      </c>
      <c r="F121" s="63">
        <f>F116-5*F109</f>
        <v>155</v>
      </c>
      <c r="G121" s="20">
        <f t="shared" si="236"/>
        <v>20</v>
      </c>
      <c r="H121" s="59"/>
      <c r="I121" s="9">
        <f t="shared" si="211"/>
        <v>42.024627579377224</v>
      </c>
      <c r="J121" s="9">
        <f t="shared" si="212"/>
        <v>114.51865278304312</v>
      </c>
      <c r="K121" s="9">
        <f t="shared" si="237"/>
        <v>72.494025203665899</v>
      </c>
      <c r="L121" s="59"/>
      <c r="M121" s="9">
        <f t="shared" si="214"/>
        <v>2.7932877674841876</v>
      </c>
      <c r="N121" s="69">
        <f t="shared" si="215"/>
        <v>0.61500547010636808</v>
      </c>
      <c r="O121" s="9">
        <f t="shared" si="215"/>
        <v>3.4082932375905557</v>
      </c>
      <c r="P121" s="62">
        <f t="shared" si="216"/>
        <v>58.576872569299901</v>
      </c>
      <c r="Q121" s="62">
        <f t="shared" si="227"/>
        <v>0.95253192965338229</v>
      </c>
      <c r="R121" s="61">
        <f t="shared" si="217"/>
        <v>83.447488950144972</v>
      </c>
      <c r="S121" s="61">
        <f t="shared" si="218"/>
        <v>51.179540507137176</v>
      </c>
      <c r="T121" s="79">
        <f t="shared" si="228"/>
        <v>0</v>
      </c>
      <c r="U121" s="59"/>
      <c r="V121" s="59"/>
      <c r="W121" s="59"/>
      <c r="X121" s="59"/>
      <c r="Y121" s="59"/>
      <c r="Z121" s="59"/>
      <c r="AA121" s="59"/>
      <c r="AB121" s="59"/>
      <c r="AC121" s="59"/>
      <c r="AD121" s="59"/>
      <c r="AE121" s="59"/>
      <c r="AF121" s="59"/>
      <c r="AG121" s="128">
        <f t="shared" si="229"/>
        <v>155</v>
      </c>
      <c r="AH121" s="128">
        <f t="shared" si="230"/>
        <v>2.7932877674841876</v>
      </c>
      <c r="AI121" s="128">
        <f t="shared" si="230"/>
        <v>0.61500547010636808</v>
      </c>
      <c r="AJ121" s="128">
        <f t="shared" si="219"/>
        <v>3.4082932375905557</v>
      </c>
      <c r="AK121" s="128">
        <f t="shared" si="220"/>
        <v>0.95253192965338229</v>
      </c>
      <c r="AL121" s="130"/>
      <c r="AM121" s="134">
        <f t="shared" si="238"/>
        <v>-3.125E-2</v>
      </c>
      <c r="AN121" s="135">
        <f t="shared" si="239"/>
        <v>4.0075440665771067E-2</v>
      </c>
      <c r="AO121" s="135">
        <f t="shared" si="240"/>
        <v>1.4851752775804306E-2</v>
      </c>
      <c r="AP121" s="135">
        <f t="shared" si="240"/>
        <v>3.0674846625766694E-2</v>
      </c>
      <c r="AQ121" s="134">
        <f t="shared" si="241"/>
        <v>1.587553216088966E-2</v>
      </c>
    </row>
    <row r="122" spans="1:43">
      <c r="A122" s="12"/>
      <c r="B122" s="5"/>
      <c r="C122" s="13"/>
      <c r="D122" s="102"/>
      <c r="E122" s="5"/>
      <c r="F122" s="5"/>
      <c r="G122" s="5"/>
      <c r="H122" s="13"/>
      <c r="I122" s="13"/>
      <c r="J122" s="13"/>
      <c r="K122" s="12"/>
      <c r="L122" s="12"/>
      <c r="M122" s="13"/>
      <c r="N122" s="13"/>
      <c r="O122" s="13"/>
      <c r="P122" s="13"/>
      <c r="Q122" s="13"/>
      <c r="R122" s="13"/>
      <c r="S122" s="13"/>
      <c r="T122" s="10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7"/>
      <c r="AH122" s="126"/>
      <c r="AI122" s="126"/>
      <c r="AJ122" s="126"/>
      <c r="AK122" s="127"/>
      <c r="AL122" s="59"/>
      <c r="AM122" s="12"/>
      <c r="AN122" s="12"/>
      <c r="AO122" s="12"/>
      <c r="AP122" s="12"/>
      <c r="AQ122" s="12"/>
    </row>
    <row r="123" spans="1:43" ht="18.75">
      <c r="A123" s="15" t="s">
        <v>46</v>
      </c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9"/>
      <c r="AB123" s="59"/>
      <c r="AC123" s="59"/>
      <c r="AD123" s="59"/>
      <c r="AE123" s="59"/>
      <c r="AF123" s="59"/>
      <c r="AG123" s="127"/>
      <c r="AH123" s="126"/>
      <c r="AI123" s="126"/>
      <c r="AJ123" s="126"/>
      <c r="AK123" s="127"/>
      <c r="AL123" s="59"/>
      <c r="AM123" s="59"/>
      <c r="AN123" s="59"/>
      <c r="AO123" s="59"/>
      <c r="AP123" s="59"/>
      <c r="AQ123" s="59"/>
    </row>
    <row r="124" spans="1:43">
      <c r="A124" s="20"/>
      <c r="B124" s="20"/>
      <c r="C124" s="20"/>
      <c r="D124" s="20"/>
      <c r="E124" s="20"/>
      <c r="F124" s="20"/>
      <c r="G124" s="59"/>
      <c r="H124" s="59"/>
      <c r="I124" s="59"/>
      <c r="J124" s="59"/>
      <c r="K124" s="59"/>
      <c r="L124" s="59"/>
      <c r="M124" s="236" t="s">
        <v>14</v>
      </c>
      <c r="N124" s="237"/>
      <c r="O124" s="59"/>
      <c r="P124" s="59"/>
      <c r="Q124" s="59"/>
      <c r="R124" s="59"/>
      <c r="S124" s="59"/>
      <c r="T124" s="59"/>
      <c r="U124" s="59"/>
      <c r="V124" s="5"/>
      <c r="W124" s="59"/>
      <c r="X124" s="59"/>
      <c r="Y124" s="59"/>
      <c r="Z124" s="59"/>
      <c r="AA124" s="59"/>
      <c r="AB124" s="59"/>
      <c r="AC124" s="59"/>
      <c r="AD124" s="59"/>
      <c r="AE124" s="59"/>
      <c r="AF124" s="59"/>
      <c r="AG124" s="28"/>
      <c r="AH124" s="65"/>
      <c r="AI124" s="65"/>
      <c r="AJ124" s="65"/>
      <c r="AK124" s="59"/>
      <c r="AL124" s="35"/>
      <c r="AM124" s="59"/>
      <c r="AN124" s="59"/>
      <c r="AO124" s="59"/>
      <c r="AP124" s="59"/>
      <c r="AQ124" s="59"/>
    </row>
    <row r="125" spans="1:43" ht="136.5">
      <c r="A125" s="27"/>
      <c r="B125" s="28" t="s">
        <v>12</v>
      </c>
      <c r="C125" s="28" t="s">
        <v>8</v>
      </c>
      <c r="D125" s="65" t="s">
        <v>42</v>
      </c>
      <c r="E125" s="28" t="s">
        <v>3</v>
      </c>
      <c r="F125" s="28" t="s">
        <v>4</v>
      </c>
      <c r="G125" s="28" t="s">
        <v>41</v>
      </c>
      <c r="H125" s="28" t="s">
        <v>1</v>
      </c>
      <c r="I125" s="55" t="s">
        <v>80</v>
      </c>
      <c r="J125" s="28" t="s">
        <v>6</v>
      </c>
      <c r="K125" s="28" t="s">
        <v>5</v>
      </c>
      <c r="L125" s="31" t="s">
        <v>49</v>
      </c>
      <c r="M125" s="31" t="s">
        <v>9</v>
      </c>
      <c r="N125" s="28" t="s">
        <v>18</v>
      </c>
      <c r="O125" s="28" t="s">
        <v>19</v>
      </c>
      <c r="P125" s="32" t="s">
        <v>25</v>
      </c>
      <c r="Q125" s="28" t="s">
        <v>27</v>
      </c>
      <c r="R125" s="67" t="s">
        <v>26</v>
      </c>
      <c r="S125" s="28" t="s">
        <v>28</v>
      </c>
      <c r="T125" s="28" t="s">
        <v>33</v>
      </c>
      <c r="U125" s="28" t="s">
        <v>34</v>
      </c>
      <c r="V125" s="28" t="s">
        <v>30</v>
      </c>
      <c r="W125" s="28" t="s">
        <v>43</v>
      </c>
      <c r="X125" s="65" t="s">
        <v>29</v>
      </c>
      <c r="Y125" s="28" t="s">
        <v>32</v>
      </c>
      <c r="Z125" s="66" t="s">
        <v>31</v>
      </c>
      <c r="AA125" s="66" t="s">
        <v>35</v>
      </c>
      <c r="AB125" s="28" t="s">
        <v>36</v>
      </c>
      <c r="AC125" s="66" t="s">
        <v>37</v>
      </c>
      <c r="AD125" s="66" t="s">
        <v>48</v>
      </c>
      <c r="AE125" s="68" t="s">
        <v>38</v>
      </c>
      <c r="AF125" s="27"/>
      <c r="AG125" s="128" t="str">
        <f t="shared" ref="AG125:AG136" si="247">F125</f>
        <v>span (cm)</v>
      </c>
      <c r="AH125" s="28" t="s">
        <v>113</v>
      </c>
      <c r="AI125" s="28" t="s">
        <v>114</v>
      </c>
      <c r="AJ125" s="28" t="s">
        <v>115</v>
      </c>
      <c r="AK125" s="129" t="str">
        <f>Q110</f>
        <v>distance to move stretcher to stern (cm)</v>
      </c>
      <c r="AL125" s="124"/>
      <c r="AM125" s="28" t="str">
        <f>AG125</f>
        <v>span (cm)</v>
      </c>
      <c r="AN125" s="28" t="str">
        <f t="shared" ref="AN125:AQ125" si="248">AH125</f>
        <v>Change in catch angle (deg)</v>
      </c>
      <c r="AO125" s="28" t="str">
        <f t="shared" si="248"/>
        <v>Change in finish angle (deg)</v>
      </c>
      <c r="AP125" s="28" t="str">
        <f t="shared" si="248"/>
        <v>Change in sweep angle (deg)</v>
      </c>
      <c r="AQ125" s="28" t="str">
        <f t="shared" si="248"/>
        <v>distance to move stretcher to stern (cm)</v>
      </c>
    </row>
    <row r="126" spans="1:43">
      <c r="A126" s="59"/>
      <c r="B126" s="20">
        <f>B111</f>
        <v>183</v>
      </c>
      <c r="C126" s="18">
        <f t="shared" ref="C126:C130" si="249">100*(0.297865*B126/100+1.08387)</f>
        <v>162.89629500000001</v>
      </c>
      <c r="D126" s="140">
        <f>D111</f>
        <v>25</v>
      </c>
      <c r="E126" s="63">
        <f t="shared" ref="E126:F126" si="250">E111</f>
        <v>90.5</v>
      </c>
      <c r="F126" s="63">
        <f t="shared" si="250"/>
        <v>165</v>
      </c>
      <c r="G126" s="20">
        <f t="shared" ref="G126:G130" si="251">(E126+2)*2 -F126</f>
        <v>20</v>
      </c>
      <c r="H126" s="61">
        <f>DEGREES(ACOS((F126-D126)/2/(E126+2)))</f>
        <v>40.820891043317005</v>
      </c>
      <c r="I126" s="69">
        <f>H126-H$131</f>
        <v>-0.58873106595385138</v>
      </c>
      <c r="J126" s="61"/>
      <c r="K126" s="63"/>
      <c r="L126" s="62">
        <f t="shared" ref="L126:L131" si="252">((F126-D126)/2)*TAN(RADIANS(H126))</f>
        <v>60.466933112239104</v>
      </c>
      <c r="M126" s="62">
        <f>L126-L$131</f>
        <v>0.93752861328582071</v>
      </c>
      <c r="N126" s="63"/>
      <c r="O126" s="63"/>
      <c r="P126" s="23">
        <f>P$131</f>
        <v>1</v>
      </c>
      <c r="Q126" s="20">
        <f t="shared" ref="Q126:Q136" si="253">B126 *P126</f>
        <v>183</v>
      </c>
      <c r="R126" s="23">
        <f>R$131</f>
        <v>0.3</v>
      </c>
      <c r="S126" s="61">
        <f>Q126*R126</f>
        <v>54.9</v>
      </c>
      <c r="T126" s="61">
        <f>S126/2</f>
        <v>27.45</v>
      </c>
      <c r="U126" s="61">
        <f t="shared" ref="U126:U130" si="254">F126/2 -S126/2</f>
        <v>55.05</v>
      </c>
      <c r="V126" s="61"/>
      <c r="W126" s="61">
        <f t="shared" ref="W126:W130" si="255">COS(RADIANS(17))*((Q126-S126)/2 -8)</f>
        <v>53.600881571728131</v>
      </c>
      <c r="X126" s="63">
        <f t="shared" ref="X126:X129" si="256">X$131 -M126</f>
        <v>34.297489324644545</v>
      </c>
      <c r="Y126" s="61">
        <f>SQRT(X126*X126+U126*U126)</f>
        <v>64.860005195606533</v>
      </c>
      <c r="Z126" s="9">
        <f>DEGREES(ASIN(X126/Y126))</f>
        <v>31.923910401158505</v>
      </c>
      <c r="AA126" s="9">
        <f t="shared" ref="AA126:AA136" si="257">DEGREES(ACOS(((E126+2)*(E126+2)+(Y126*Y126)-(W126*W126))/(2*(E126+2)*(Y126))))</f>
        <v>34.489524507822509</v>
      </c>
      <c r="AB126" s="4">
        <f t="shared" ref="AB126:AB136" si="258">Z126+AA126</f>
        <v>66.413434908981017</v>
      </c>
      <c r="AC126" s="69">
        <f t="shared" ref="AC126:AC130" si="259">AB126-AB$131</f>
        <v>-3.2873025272006799</v>
      </c>
      <c r="AD126" s="69">
        <f>AB126+H126</f>
        <v>107.23432595229802</v>
      </c>
      <c r="AE126" s="64">
        <f t="shared" ref="AE126:AE130" si="260">H126+AB126-J$131</f>
        <v>-3.8760335931545455</v>
      </c>
      <c r="AF126" s="59"/>
      <c r="AG126" s="128">
        <f t="shared" si="247"/>
        <v>165</v>
      </c>
      <c r="AH126" s="128">
        <f t="shared" ref="AH126:AH136" si="261">AC126</f>
        <v>-3.2873025272006799</v>
      </c>
      <c r="AI126" s="128">
        <f t="shared" ref="AI126:AI136" si="262">I126</f>
        <v>-0.58873106595385138</v>
      </c>
      <c r="AJ126" s="128">
        <f t="shared" ref="AJ126:AJ136" si="263">AE126</f>
        <v>-3.8760335931545455</v>
      </c>
      <c r="AK126" s="128">
        <f>Q111</f>
        <v>-0.93752861328582071</v>
      </c>
      <c r="AL126" s="59"/>
      <c r="AM126" s="134">
        <f t="shared" ref="AM126:AM130" si="264">AG126/AG$131-1</f>
        <v>3.125E-2</v>
      </c>
      <c r="AN126" s="135">
        <f t="shared" ref="AN126:AN130" si="265">AB126/AB$131-1</f>
        <v>-4.7163095371990149E-2</v>
      </c>
      <c r="AO126" s="135">
        <f t="shared" ref="AO126:AO130" si="266">H126/H$131-1</f>
        <v>-1.4217252801784097E-2</v>
      </c>
      <c r="AP126" s="134">
        <f t="shared" ref="AP126:AP130" si="267">AD126/AD$131-1</f>
        <v>-3.4884538300579804E-2</v>
      </c>
      <c r="AQ126" s="134">
        <f t="shared" ref="AQ126:AQ130" si="268">(Q126+60)/(Q$131+60) -1</f>
        <v>0</v>
      </c>
    </row>
    <row r="127" spans="1:43">
      <c r="A127" s="59"/>
      <c r="B127" s="20">
        <f t="shared" ref="B127:B136" si="269">B112</f>
        <v>183</v>
      </c>
      <c r="C127" s="18">
        <f t="shared" si="249"/>
        <v>162.89629500000001</v>
      </c>
      <c r="D127" s="140">
        <f t="shared" ref="D127:F136" si="270">D112</f>
        <v>25</v>
      </c>
      <c r="E127" s="63">
        <f t="shared" si="270"/>
        <v>90</v>
      </c>
      <c r="F127" s="63">
        <f t="shared" si="270"/>
        <v>164</v>
      </c>
      <c r="G127" s="20">
        <f t="shared" si="251"/>
        <v>20</v>
      </c>
      <c r="H127" s="61">
        <f>DEGREES(ACOS((F127-D127)/2/(E127+2)))</f>
        <v>40.936625372691601</v>
      </c>
      <c r="I127" s="69">
        <f t="shared" ref="I127:I136" si="271">H127-H$131</f>
        <v>-0.47299673657925467</v>
      </c>
      <c r="J127" s="61"/>
      <c r="K127" s="63"/>
      <c r="L127" s="62">
        <f t="shared" si="252"/>
        <v>60.28059389223035</v>
      </c>
      <c r="M127" s="62">
        <f t="shared" ref="M127:M136" si="272">L127-L$131</f>
        <v>0.75118939327706613</v>
      </c>
      <c r="N127" s="63"/>
      <c r="O127" s="63"/>
      <c r="P127" s="23">
        <f t="shared" ref="P127:P130" si="273">P$131</f>
        <v>1</v>
      </c>
      <c r="Q127" s="20">
        <f t="shared" si="253"/>
        <v>183</v>
      </c>
      <c r="R127" s="23">
        <f t="shared" ref="R127:R130" si="274">R$131</f>
        <v>0.3</v>
      </c>
      <c r="S127" s="61">
        <f t="shared" ref="S127:S130" si="275">Q127*R127</f>
        <v>54.9</v>
      </c>
      <c r="T127" s="61">
        <f t="shared" ref="T127:T130" si="276">S127/2</f>
        <v>27.45</v>
      </c>
      <c r="U127" s="61">
        <f t="shared" si="254"/>
        <v>54.55</v>
      </c>
      <c r="V127" s="61"/>
      <c r="W127" s="61">
        <f t="shared" si="255"/>
        <v>53.600881571728131</v>
      </c>
      <c r="X127" s="63">
        <f t="shared" si="256"/>
        <v>34.483828544653299</v>
      </c>
      <c r="Y127" s="61">
        <f>SQRT(X127*X127+U127*U127)</f>
        <v>64.535547809692034</v>
      </c>
      <c r="Z127" s="9">
        <f>DEGREES(ASIN(X127/Y127))</f>
        <v>32.299061996943585</v>
      </c>
      <c r="AA127" s="9">
        <f t="shared" si="257"/>
        <v>34.757598074279159</v>
      </c>
      <c r="AB127" s="4">
        <f t="shared" si="258"/>
        <v>67.056660071222751</v>
      </c>
      <c r="AC127" s="69">
        <f t="shared" si="259"/>
        <v>-2.644077364958946</v>
      </c>
      <c r="AD127" s="69">
        <f t="shared" ref="AD127:AD136" si="277">AB127+H127</f>
        <v>107.99328544391435</v>
      </c>
      <c r="AE127" s="64">
        <f t="shared" si="260"/>
        <v>-3.117074101538222</v>
      </c>
      <c r="AF127" s="59"/>
      <c r="AG127" s="128">
        <f t="shared" si="247"/>
        <v>164</v>
      </c>
      <c r="AH127" s="128">
        <f t="shared" si="261"/>
        <v>-2.644077364958946</v>
      </c>
      <c r="AI127" s="128">
        <f t="shared" si="262"/>
        <v>-0.47299673657925467</v>
      </c>
      <c r="AJ127" s="128">
        <f t="shared" si="263"/>
        <v>-3.117074101538222</v>
      </c>
      <c r="AK127" s="128">
        <f t="shared" ref="AK127:AK136" si="278">Q112</f>
        <v>-0.75118939327706613</v>
      </c>
      <c r="AL127" s="59"/>
      <c r="AM127" s="134">
        <f t="shared" si="264"/>
        <v>2.4999999999999911E-2</v>
      </c>
      <c r="AN127" s="135">
        <f t="shared" si="265"/>
        <v>-3.7934711485368089E-2</v>
      </c>
      <c r="AO127" s="135">
        <f t="shared" si="266"/>
        <v>-1.1422387176852733E-2</v>
      </c>
      <c r="AP127" s="134">
        <f t="shared" si="267"/>
        <v>-2.8053856672681232E-2</v>
      </c>
      <c r="AQ127" s="134">
        <f t="shared" si="268"/>
        <v>0</v>
      </c>
    </row>
    <row r="128" spans="1:43">
      <c r="A128" s="59"/>
      <c r="B128" s="20">
        <f t="shared" si="269"/>
        <v>183</v>
      </c>
      <c r="C128" s="18">
        <f t="shared" si="249"/>
        <v>162.89629500000001</v>
      </c>
      <c r="D128" s="140">
        <f t="shared" si="270"/>
        <v>25</v>
      </c>
      <c r="E128" s="63">
        <f t="shared" si="270"/>
        <v>89.5</v>
      </c>
      <c r="F128" s="63">
        <f t="shared" si="270"/>
        <v>163</v>
      </c>
      <c r="G128" s="20">
        <f t="shared" si="251"/>
        <v>20</v>
      </c>
      <c r="H128" s="61">
        <f>DEGREES(ACOS((F128-D128)/2/(E128+2)))</f>
        <v>41.053351236293722</v>
      </c>
      <c r="I128" s="69">
        <f t="shared" si="271"/>
        <v>-0.35627087297713445</v>
      </c>
      <c r="J128" s="61"/>
      <c r="K128" s="63"/>
      <c r="L128" s="62">
        <f t="shared" si="252"/>
        <v>60.093676872030386</v>
      </c>
      <c r="M128" s="62">
        <f t="shared" si="272"/>
        <v>0.56427237307710243</v>
      </c>
      <c r="N128" s="63"/>
      <c r="O128" s="63"/>
      <c r="P128" s="23">
        <f t="shared" si="273"/>
        <v>1</v>
      </c>
      <c r="Q128" s="20">
        <f t="shared" si="253"/>
        <v>183</v>
      </c>
      <c r="R128" s="23">
        <f t="shared" si="274"/>
        <v>0.3</v>
      </c>
      <c r="S128" s="61">
        <f t="shared" si="275"/>
        <v>54.9</v>
      </c>
      <c r="T128" s="61">
        <f t="shared" si="276"/>
        <v>27.45</v>
      </c>
      <c r="U128" s="61">
        <f t="shared" si="254"/>
        <v>54.05</v>
      </c>
      <c r="V128" s="61"/>
      <c r="W128" s="61">
        <f t="shared" si="255"/>
        <v>53.600881571728131</v>
      </c>
      <c r="X128" s="63">
        <f t="shared" si="256"/>
        <v>34.670745564853263</v>
      </c>
      <c r="Y128" s="61">
        <f t="shared" ref="Y128:Y130" si="279">SQRT(X128*X128+U128*U128)</f>
        <v>64.214197012987654</v>
      </c>
      <c r="Z128" s="9">
        <f t="shared" ref="Z128:Z130" si="280">DEGREES(ASIN(X128/Y128))</f>
        <v>32.678422369384144</v>
      </c>
      <c r="AA128" s="9">
        <f t="shared" si="257"/>
        <v>35.028546016873499</v>
      </c>
      <c r="AB128" s="4">
        <f t="shared" si="258"/>
        <v>67.706968386257643</v>
      </c>
      <c r="AC128" s="69">
        <f t="shared" si="259"/>
        <v>-1.9937690499240546</v>
      </c>
      <c r="AD128" s="69">
        <f t="shared" si="277"/>
        <v>108.76031962255136</v>
      </c>
      <c r="AE128" s="64">
        <f t="shared" si="260"/>
        <v>-2.3500399229012032</v>
      </c>
      <c r="AF128" s="59"/>
      <c r="AG128" s="128">
        <f t="shared" si="247"/>
        <v>163</v>
      </c>
      <c r="AH128" s="128">
        <f t="shared" si="261"/>
        <v>-1.9937690499240546</v>
      </c>
      <c r="AI128" s="128">
        <f t="shared" si="262"/>
        <v>-0.35627087297713445</v>
      </c>
      <c r="AJ128" s="128">
        <f t="shared" si="263"/>
        <v>-2.3500399229012032</v>
      </c>
      <c r="AK128" s="128">
        <f t="shared" si="278"/>
        <v>-0.56427237307710243</v>
      </c>
      <c r="AL128" s="59"/>
      <c r="AM128" s="134">
        <f t="shared" si="264"/>
        <v>1.8750000000000044E-2</v>
      </c>
      <c r="AN128" s="135">
        <f t="shared" si="265"/>
        <v>-2.8604705247911588E-2</v>
      </c>
      <c r="AO128" s="135">
        <f t="shared" si="266"/>
        <v>-8.6035770149510693E-3</v>
      </c>
      <c r="AP128" s="134">
        <f t="shared" si="267"/>
        <v>-2.1150502370031909E-2</v>
      </c>
      <c r="AQ128" s="134">
        <f t="shared" si="268"/>
        <v>0</v>
      </c>
    </row>
    <row r="129" spans="1:43">
      <c r="A129" s="59"/>
      <c r="B129" s="20">
        <f t="shared" si="269"/>
        <v>183</v>
      </c>
      <c r="C129" s="18">
        <f t="shared" si="249"/>
        <v>162.89629500000001</v>
      </c>
      <c r="D129" s="140">
        <f t="shared" si="270"/>
        <v>25</v>
      </c>
      <c r="E129" s="63">
        <f t="shared" si="270"/>
        <v>89</v>
      </c>
      <c r="F129" s="63">
        <f t="shared" si="270"/>
        <v>162</v>
      </c>
      <c r="G129" s="20">
        <f t="shared" si="251"/>
        <v>20</v>
      </c>
      <c r="H129" s="61">
        <f>DEGREES(ACOS((F129-D129)/2/(E129+2)))</f>
        <v>41.171082896368539</v>
      </c>
      <c r="I129" s="69">
        <f t="shared" si="271"/>
        <v>-0.23853921290231739</v>
      </c>
      <c r="J129" s="61"/>
      <c r="K129" s="63"/>
      <c r="L129" s="62">
        <f t="shared" si="252"/>
        <v>59.906176643147553</v>
      </c>
      <c r="M129" s="62">
        <f t="shared" si="272"/>
        <v>0.37677214419426974</v>
      </c>
      <c r="N129" s="63"/>
      <c r="O129" s="63"/>
      <c r="P129" s="23">
        <f t="shared" si="273"/>
        <v>1</v>
      </c>
      <c r="Q129" s="20">
        <f t="shared" si="253"/>
        <v>183</v>
      </c>
      <c r="R129" s="23">
        <f t="shared" si="274"/>
        <v>0.3</v>
      </c>
      <c r="S129" s="61">
        <f t="shared" si="275"/>
        <v>54.9</v>
      </c>
      <c r="T129" s="61">
        <f t="shared" si="276"/>
        <v>27.45</v>
      </c>
      <c r="U129" s="61">
        <f t="shared" si="254"/>
        <v>53.55</v>
      </c>
      <c r="V129" s="61"/>
      <c r="W129" s="61">
        <f t="shared" si="255"/>
        <v>53.600881571728131</v>
      </c>
      <c r="X129" s="63">
        <f t="shared" si="256"/>
        <v>34.858245793736096</v>
      </c>
      <c r="Y129" s="61">
        <f t="shared" si="279"/>
        <v>63.896007698576284</v>
      </c>
      <c r="Z129" s="9">
        <f t="shared" si="280"/>
        <v>33.062020042801457</v>
      </c>
      <c r="AA129" s="9">
        <f t="shared" si="257"/>
        <v>35.30237572762973</v>
      </c>
      <c r="AB129" s="4">
        <f t="shared" si="258"/>
        <v>68.364395770431187</v>
      </c>
      <c r="AC129" s="69">
        <f t="shared" si="259"/>
        <v>-1.3363416657505098</v>
      </c>
      <c r="AD129" s="69">
        <f t="shared" si="277"/>
        <v>109.53547866679972</v>
      </c>
      <c r="AE129" s="64">
        <f t="shared" si="260"/>
        <v>-1.5748808786528485</v>
      </c>
      <c r="AF129" s="59"/>
      <c r="AG129" s="128">
        <f t="shared" si="247"/>
        <v>162</v>
      </c>
      <c r="AH129" s="128">
        <f t="shared" si="261"/>
        <v>-1.3363416657505098</v>
      </c>
      <c r="AI129" s="128">
        <f t="shared" si="262"/>
        <v>-0.23853921290231739</v>
      </c>
      <c r="AJ129" s="128">
        <f t="shared" si="263"/>
        <v>-1.5748808786528485</v>
      </c>
      <c r="AK129" s="128">
        <f t="shared" si="278"/>
        <v>-0.37677214419426974</v>
      </c>
      <c r="AL129" s="59"/>
      <c r="AM129" s="134">
        <f t="shared" si="264"/>
        <v>1.2499999999999956E-2</v>
      </c>
      <c r="AN129" s="135">
        <f t="shared" si="265"/>
        <v>-1.9172561365997987E-2</v>
      </c>
      <c r="AO129" s="135">
        <f t="shared" si="266"/>
        <v>-5.7604778974525983E-3</v>
      </c>
      <c r="AP129" s="134">
        <f t="shared" si="267"/>
        <v>-1.417402378226118E-2</v>
      </c>
      <c r="AQ129" s="134">
        <f t="shared" si="268"/>
        <v>0</v>
      </c>
    </row>
    <row r="130" spans="1:43">
      <c r="A130" s="59"/>
      <c r="B130" s="20">
        <f t="shared" si="269"/>
        <v>183</v>
      </c>
      <c r="C130" s="18">
        <f t="shared" si="249"/>
        <v>162.89629500000001</v>
      </c>
      <c r="D130" s="140">
        <f t="shared" si="270"/>
        <v>25</v>
      </c>
      <c r="E130" s="63">
        <f t="shared" si="270"/>
        <v>88.5</v>
      </c>
      <c r="F130" s="63">
        <f t="shared" si="270"/>
        <v>161</v>
      </c>
      <c r="G130" s="20">
        <f t="shared" si="251"/>
        <v>20</v>
      </c>
      <c r="H130" s="61">
        <f t="shared" ref="H130" si="281">DEGREES(ACOS((F130-D130)/2/(E130+2)))</f>
        <v>41.289834904511117</v>
      </c>
      <c r="I130" s="69">
        <f t="shared" si="271"/>
        <v>-0.11978720475973859</v>
      </c>
      <c r="J130" s="61"/>
      <c r="K130" s="63"/>
      <c r="L130" s="62">
        <f t="shared" si="252"/>
        <v>59.718087712183141</v>
      </c>
      <c r="M130" s="62">
        <f t="shared" si="272"/>
        <v>0.18868321322985793</v>
      </c>
      <c r="N130" s="63"/>
      <c r="O130" s="63"/>
      <c r="P130" s="23">
        <f t="shared" si="273"/>
        <v>1</v>
      </c>
      <c r="Q130" s="20">
        <f t="shared" si="253"/>
        <v>183</v>
      </c>
      <c r="R130" s="23">
        <f t="shared" si="274"/>
        <v>0.3</v>
      </c>
      <c r="S130" s="61">
        <f t="shared" si="275"/>
        <v>54.9</v>
      </c>
      <c r="T130" s="61">
        <f t="shared" si="276"/>
        <v>27.45</v>
      </c>
      <c r="U130" s="61">
        <f t="shared" si="254"/>
        <v>53.05</v>
      </c>
      <c r="V130" s="61"/>
      <c r="W130" s="61">
        <f t="shared" si="255"/>
        <v>53.600881571728131</v>
      </c>
      <c r="X130" s="63">
        <f>X$131 -M130</f>
        <v>35.046334724700507</v>
      </c>
      <c r="Y130" s="61">
        <f t="shared" si="279"/>
        <v>63.581035518743704</v>
      </c>
      <c r="Z130" s="9">
        <f t="shared" si="280"/>
        <v>33.449882386992726</v>
      </c>
      <c r="AA130" s="9">
        <f t="shared" si="257"/>
        <v>35.579092991835807</v>
      </c>
      <c r="AB130" s="4">
        <f t="shared" si="258"/>
        <v>69.028975378828534</v>
      </c>
      <c r="AC130" s="69">
        <f t="shared" si="259"/>
        <v>-0.6717620573531633</v>
      </c>
      <c r="AD130" s="69">
        <f t="shared" si="277"/>
        <v>110.31881028333964</v>
      </c>
      <c r="AE130" s="64">
        <f t="shared" si="260"/>
        <v>-0.7915492621129232</v>
      </c>
      <c r="AF130" s="59"/>
      <c r="AG130" s="128">
        <f t="shared" si="247"/>
        <v>161</v>
      </c>
      <c r="AH130" s="128">
        <f t="shared" si="261"/>
        <v>-0.6717620573531633</v>
      </c>
      <c r="AI130" s="128">
        <f t="shared" si="262"/>
        <v>-0.11978720475973859</v>
      </c>
      <c r="AJ130" s="128">
        <f t="shared" si="263"/>
        <v>-0.7915492621129232</v>
      </c>
      <c r="AK130" s="128">
        <f t="shared" si="278"/>
        <v>-0.18868321322985793</v>
      </c>
      <c r="AL130" s="15"/>
      <c r="AM130" s="134">
        <f t="shared" si="264"/>
        <v>6.2500000000000888E-3</v>
      </c>
      <c r="AN130" s="135">
        <f t="shared" si="265"/>
        <v>-9.6378041619463728E-3</v>
      </c>
      <c r="AO130" s="135">
        <f t="shared" si="266"/>
        <v>-2.8927384182266813E-3</v>
      </c>
      <c r="AP130" s="134">
        <f t="shared" si="267"/>
        <v>-7.1239915463428005E-3</v>
      </c>
      <c r="AQ130" s="134">
        <f t="shared" si="268"/>
        <v>0</v>
      </c>
    </row>
    <row r="131" spans="1:43">
      <c r="A131" s="59"/>
      <c r="B131" s="20">
        <f t="shared" si="269"/>
        <v>183</v>
      </c>
      <c r="C131" s="18">
        <f>100*(0.297865*B131/100+1.08387)</f>
        <v>162.89629500000001</v>
      </c>
      <c r="D131" s="140">
        <f t="shared" si="270"/>
        <v>25</v>
      </c>
      <c r="E131" s="63">
        <f t="shared" si="270"/>
        <v>88</v>
      </c>
      <c r="F131" s="63">
        <f t="shared" si="270"/>
        <v>160</v>
      </c>
      <c r="G131" s="20">
        <f>(E131+2)*2 -F131</f>
        <v>20</v>
      </c>
      <c r="H131" s="61">
        <f>DEGREES(ACOS((F131-D131)/2/(E131+2)))</f>
        <v>41.409622109270856</v>
      </c>
      <c r="I131" s="69">
        <f t="shared" si="271"/>
        <v>0</v>
      </c>
      <c r="J131" s="4">
        <f>DEGREES(C131/(E131-6+2))</f>
        <v>111.11035954545257</v>
      </c>
      <c r="K131" s="61">
        <f>J131-H131</f>
        <v>69.700737436181711</v>
      </c>
      <c r="L131" s="62">
        <f t="shared" si="252"/>
        <v>59.529404498953284</v>
      </c>
      <c r="M131" s="62">
        <f t="shared" si="272"/>
        <v>0</v>
      </c>
      <c r="N131" s="61">
        <f>(E131+2)*SIN(RADIANS(K131))</f>
        <v>84.410405985170328</v>
      </c>
      <c r="O131" s="61">
        <f>(F131/2)- (E131+2)*COS(RADIANS(K131))</f>
        <v>48.776877775937891</v>
      </c>
      <c r="P131" s="22">
        <v>1</v>
      </c>
      <c r="Q131" s="2">
        <f t="shared" si="253"/>
        <v>183</v>
      </c>
      <c r="R131" s="22">
        <v>0.3</v>
      </c>
      <c r="S131" s="61">
        <f>Q131*R131</f>
        <v>54.9</v>
      </c>
      <c r="T131" s="61">
        <f>S131/2</f>
        <v>27.45</v>
      </c>
      <c r="U131" s="61">
        <f>F131/2 -S131/2</f>
        <v>52.55</v>
      </c>
      <c r="V131" s="61">
        <f>O131-T131</f>
        <v>21.326877775937891</v>
      </c>
      <c r="W131" s="61">
        <f>COS(RADIANS(17))*((Q131-S131)/2-8)</f>
        <v>53.600881571728131</v>
      </c>
      <c r="X131" s="63">
        <f xml:space="preserve"> N131- SQRT(W131*W131-V131*V131)</f>
        <v>35.235017937930365</v>
      </c>
      <c r="Y131" s="61">
        <f>SQRT(X131*X131+U131*U131)</f>
        <v>63.269336878825229</v>
      </c>
      <c r="Z131" s="9">
        <f>DEGREES(ASIN(X131/Y131))</f>
        <v>33.84203553914503</v>
      </c>
      <c r="AA131" s="9">
        <f t="shared" si="257"/>
        <v>35.858701897036667</v>
      </c>
      <c r="AB131" s="4">
        <f t="shared" si="258"/>
        <v>69.700737436181697</v>
      </c>
      <c r="AC131" s="69">
        <f>AB131-AB$131</f>
        <v>0</v>
      </c>
      <c r="AD131" s="69">
        <f t="shared" si="277"/>
        <v>111.11035954545255</v>
      </c>
      <c r="AE131" s="64">
        <f>H131+AB131-J$131</f>
        <v>0</v>
      </c>
      <c r="AF131" s="59"/>
      <c r="AG131" s="128">
        <f t="shared" si="247"/>
        <v>160</v>
      </c>
      <c r="AH131" s="128">
        <f t="shared" si="261"/>
        <v>0</v>
      </c>
      <c r="AI131" s="128">
        <f t="shared" si="262"/>
        <v>0</v>
      </c>
      <c r="AJ131" s="128">
        <f t="shared" si="263"/>
        <v>0</v>
      </c>
      <c r="AK131" s="128">
        <f t="shared" si="278"/>
        <v>0</v>
      </c>
      <c r="AL131" s="59"/>
      <c r="AM131" s="134">
        <f>AG131/AG$131-1</f>
        <v>0</v>
      </c>
      <c r="AN131" s="135">
        <f>AB131/AB$131-1</f>
        <v>0</v>
      </c>
      <c r="AO131" s="135">
        <f>H131/H$131-1</f>
        <v>0</v>
      </c>
      <c r="AP131" s="134">
        <f>AD131/AD$131-1</f>
        <v>0</v>
      </c>
      <c r="AQ131" s="134">
        <f>(Q131+60)/(Q$131+60) -1</f>
        <v>0</v>
      </c>
    </row>
    <row r="132" spans="1:43">
      <c r="A132" s="59"/>
      <c r="B132" s="20">
        <f t="shared" si="269"/>
        <v>183</v>
      </c>
      <c r="C132" s="63">
        <f t="shared" ref="C132:C136" si="282">100*(0.297865*B132/100+1.08387)</f>
        <v>162.89629500000001</v>
      </c>
      <c r="D132" s="140">
        <f t="shared" si="270"/>
        <v>25</v>
      </c>
      <c r="E132" s="63">
        <f t="shared" si="270"/>
        <v>87.5</v>
      </c>
      <c r="F132" s="63">
        <f t="shared" si="270"/>
        <v>159</v>
      </c>
      <c r="G132" s="20">
        <f t="shared" ref="G132:G136" si="283">(E132+2)*2 -F132</f>
        <v>20</v>
      </c>
      <c r="H132" s="61">
        <f>DEGREES(ACOS((F132-D136)/2/(E132+2)))</f>
        <v>41.530459664002187</v>
      </c>
      <c r="I132" s="69">
        <f t="shared" si="271"/>
        <v>0.12083755473133095</v>
      </c>
      <c r="J132" s="61"/>
      <c r="K132" s="63"/>
      <c r="L132" s="62">
        <f>((F132-D136)/2)*TAN(RADIANS(H132))</f>
        <v>59.340121334557445</v>
      </c>
      <c r="M132" s="62">
        <f t="shared" si="272"/>
        <v>-0.18928316439583881</v>
      </c>
      <c r="N132" s="63"/>
      <c r="O132" s="63"/>
      <c r="P132" s="23">
        <f>P$131</f>
        <v>1</v>
      </c>
      <c r="Q132" s="20">
        <f t="shared" si="253"/>
        <v>183</v>
      </c>
      <c r="R132" s="23">
        <f>R$131</f>
        <v>0.3</v>
      </c>
      <c r="S132" s="61">
        <f>Q132*R132</f>
        <v>54.9</v>
      </c>
      <c r="T132" s="61">
        <f>S132/2</f>
        <v>27.45</v>
      </c>
      <c r="U132" s="61">
        <f t="shared" ref="U132:U136" si="284">F132/2 -S132/2</f>
        <v>52.05</v>
      </c>
      <c r="V132" s="61"/>
      <c r="W132" s="61">
        <f t="shared" ref="W132:W136" si="285">COS(RADIANS(17))*((Q132-S132)/2 -8)</f>
        <v>53.600881571728131</v>
      </c>
      <c r="X132" s="63">
        <f t="shared" ref="X132:X135" si="286">X$131 -M132</f>
        <v>35.424301102326204</v>
      </c>
      <c r="Y132" s="61">
        <f>SQRT(X132*X132+U132*U132)</f>
        <v>62.960968929871697</v>
      </c>
      <c r="Z132" s="9">
        <f>DEGREES(ASIN(X132/Y132))</f>
        <v>34.238504323469314</v>
      </c>
      <c r="AA132" s="9">
        <f t="shared" si="257"/>
        <v>36.141204739283282</v>
      </c>
      <c r="AB132" s="4">
        <f t="shared" si="258"/>
        <v>70.379709062752596</v>
      </c>
      <c r="AC132" s="69">
        <f t="shared" ref="AC132:AC136" si="287">AB132-AB$131</f>
        <v>0.67897162657089893</v>
      </c>
      <c r="AD132" s="69">
        <f t="shared" si="277"/>
        <v>111.91016872675479</v>
      </c>
      <c r="AE132" s="64">
        <f t="shared" ref="AE132:AE136" si="288">H132+AB132-J$131</f>
        <v>0.79980918130222278</v>
      </c>
      <c r="AF132" s="59"/>
      <c r="AG132" s="128">
        <f t="shared" si="247"/>
        <v>159</v>
      </c>
      <c r="AH132" s="128">
        <f t="shared" si="261"/>
        <v>0.67897162657089893</v>
      </c>
      <c r="AI132" s="128">
        <f t="shared" si="262"/>
        <v>0.12083755473133095</v>
      </c>
      <c r="AJ132" s="128">
        <f t="shared" si="263"/>
        <v>0.79980918130222278</v>
      </c>
      <c r="AK132" s="128">
        <f t="shared" si="278"/>
        <v>0.18928316439583881</v>
      </c>
      <c r="AL132" s="59"/>
      <c r="AM132" s="134">
        <f t="shared" ref="AM132:AM136" si="289">AG132/AG$131-1</f>
        <v>-6.2499999999999778E-3</v>
      </c>
      <c r="AN132" s="135">
        <f t="shared" ref="AN132:AN136" si="290">AB132/AB$131-1</f>
        <v>9.7412402156085154E-3</v>
      </c>
      <c r="AO132" s="135">
        <f t="shared" ref="AO132:AO136" si="291">H132/H$131-1</f>
        <v>2.9181032952310115E-3</v>
      </c>
      <c r="AP132" s="134">
        <f t="shared" ref="AP132:AP136" si="292">AD132/AD$131-1</f>
        <v>7.1983313218877409E-3</v>
      </c>
      <c r="AQ132" s="134">
        <f t="shared" ref="AQ132:AQ136" si="293">(Q132+60)/(Q$131+60) -1</f>
        <v>0</v>
      </c>
    </row>
    <row r="133" spans="1:43">
      <c r="A133" s="59"/>
      <c r="B133" s="20">
        <f t="shared" si="269"/>
        <v>183</v>
      </c>
      <c r="C133" s="18">
        <f t="shared" si="282"/>
        <v>162.89629500000001</v>
      </c>
      <c r="D133" s="140">
        <f t="shared" si="270"/>
        <v>25</v>
      </c>
      <c r="E133" s="63">
        <f t="shared" si="270"/>
        <v>87</v>
      </c>
      <c r="F133" s="63">
        <f t="shared" si="270"/>
        <v>158</v>
      </c>
      <c r="G133" s="20">
        <f t="shared" si="283"/>
        <v>20</v>
      </c>
      <c r="H133" s="61">
        <f>DEGREES(ACOS((F133-D133)/2/(E133+2)))</f>
        <v>41.652363034970818</v>
      </c>
      <c r="I133" s="69">
        <f t="shared" si="271"/>
        <v>0.24274092569996242</v>
      </c>
      <c r="J133" s="61"/>
      <c r="K133" s="63"/>
      <c r="L133" s="62">
        <f>((F133-D133)/2)*TAN(RADIANS(H133))</f>
        <v>59.150232459391049</v>
      </c>
      <c r="M133" s="62">
        <f t="shared" si="272"/>
        <v>-0.37917203956223489</v>
      </c>
      <c r="N133" s="63"/>
      <c r="O133" s="63"/>
      <c r="P133" s="23">
        <f t="shared" ref="P133:R136" si="294">P$131</f>
        <v>1</v>
      </c>
      <c r="Q133" s="20">
        <f t="shared" si="253"/>
        <v>183</v>
      </c>
      <c r="R133" s="23">
        <f t="shared" si="294"/>
        <v>0.3</v>
      </c>
      <c r="S133" s="61">
        <f t="shared" ref="S133:S136" si="295">Q133*R133</f>
        <v>54.9</v>
      </c>
      <c r="T133" s="61">
        <f t="shared" ref="T133:T136" si="296">S133/2</f>
        <v>27.45</v>
      </c>
      <c r="U133" s="61">
        <f t="shared" si="284"/>
        <v>51.55</v>
      </c>
      <c r="V133" s="61"/>
      <c r="W133" s="61">
        <f t="shared" si="285"/>
        <v>53.600881571728131</v>
      </c>
      <c r="X133" s="63">
        <f t="shared" si="286"/>
        <v>35.6141899774926</v>
      </c>
      <c r="Y133" s="61">
        <f>SQRT(X133*X133+U133*U133)</f>
        <v>62.655989560080641</v>
      </c>
      <c r="Z133" s="9">
        <f>DEGREES(ASIN(X133/Y133))</f>
        <v>34.639312168604398</v>
      </c>
      <c r="AA133" s="9">
        <f t="shared" si="257"/>
        <v>36.426601926666365</v>
      </c>
      <c r="AB133" s="4">
        <f t="shared" si="258"/>
        <v>71.065914095270756</v>
      </c>
      <c r="AC133" s="69">
        <f t="shared" si="287"/>
        <v>1.3651766590890588</v>
      </c>
      <c r="AD133" s="69">
        <f t="shared" si="277"/>
        <v>112.71827713024157</v>
      </c>
      <c r="AE133" s="64">
        <f t="shared" si="288"/>
        <v>1.607917584789007</v>
      </c>
      <c r="AF133" s="59"/>
      <c r="AG133" s="128">
        <f t="shared" si="247"/>
        <v>158</v>
      </c>
      <c r="AH133" s="128">
        <f t="shared" si="261"/>
        <v>1.3651766590890588</v>
      </c>
      <c r="AI133" s="128">
        <f t="shared" si="262"/>
        <v>0.24274092569996242</v>
      </c>
      <c r="AJ133" s="128">
        <f t="shared" si="263"/>
        <v>1.607917584789007</v>
      </c>
      <c r="AK133" s="128">
        <f t="shared" si="278"/>
        <v>0.37917203956223489</v>
      </c>
      <c r="AL133" s="59"/>
      <c r="AM133" s="134">
        <f t="shared" si="289"/>
        <v>-1.2499999999999956E-2</v>
      </c>
      <c r="AN133" s="135">
        <f t="shared" si="290"/>
        <v>1.9586258471641305E-2</v>
      </c>
      <c r="AO133" s="135">
        <f t="shared" si="291"/>
        <v>5.8619449619565778E-3</v>
      </c>
      <c r="AP133" s="134">
        <f t="shared" si="292"/>
        <v>1.4471356148670012E-2</v>
      </c>
      <c r="AQ133" s="134">
        <f t="shared" si="293"/>
        <v>0</v>
      </c>
    </row>
    <row r="134" spans="1:43">
      <c r="A134" s="59"/>
      <c r="B134" s="20">
        <f t="shared" si="269"/>
        <v>183</v>
      </c>
      <c r="C134" s="18">
        <f t="shared" si="282"/>
        <v>162.89629500000001</v>
      </c>
      <c r="D134" s="140">
        <f t="shared" si="270"/>
        <v>25</v>
      </c>
      <c r="E134" s="63">
        <f t="shared" si="270"/>
        <v>86.5</v>
      </c>
      <c r="F134" s="63">
        <f t="shared" si="270"/>
        <v>157</v>
      </c>
      <c r="G134" s="20">
        <f t="shared" si="283"/>
        <v>20</v>
      </c>
      <c r="H134" s="61">
        <f>DEGREES(ACOS((F134-D134)/2/(E134+2)))</f>
        <v>41.775348009725583</v>
      </c>
      <c r="I134" s="69">
        <f t="shared" si="271"/>
        <v>0.36572590045472708</v>
      </c>
      <c r="J134" s="61"/>
      <c r="K134" s="63"/>
      <c r="L134" s="62">
        <f>((F134-D134)/2)*TAN(RADIANS(H134))</f>
        <v>58.959732021100635</v>
      </c>
      <c r="M134" s="62">
        <f t="shared" si="272"/>
        <v>-0.56967247785264874</v>
      </c>
      <c r="N134" s="63"/>
      <c r="O134" s="63"/>
      <c r="P134" s="23">
        <f t="shared" si="294"/>
        <v>1</v>
      </c>
      <c r="Q134" s="20">
        <f t="shared" si="253"/>
        <v>183</v>
      </c>
      <c r="R134" s="23">
        <f t="shared" si="294"/>
        <v>0.3</v>
      </c>
      <c r="S134" s="61">
        <f t="shared" si="295"/>
        <v>54.9</v>
      </c>
      <c r="T134" s="61">
        <f t="shared" si="296"/>
        <v>27.45</v>
      </c>
      <c r="U134" s="61">
        <f t="shared" si="284"/>
        <v>51.05</v>
      </c>
      <c r="V134" s="61"/>
      <c r="W134" s="61">
        <f t="shared" si="285"/>
        <v>53.600881571728131</v>
      </c>
      <c r="X134" s="63">
        <f t="shared" si="286"/>
        <v>35.804690415783014</v>
      </c>
      <c r="Y134" s="61">
        <f t="shared" ref="Y134:Y136" si="297">SQRT(X134*X134+U134*U134)</f>
        <v>62.354457384938115</v>
      </c>
      <c r="Z134" s="9">
        <f t="shared" ref="Z134:Z136" si="298">DEGREES(ASIN(X134/Y134))</f>
        <v>35.044481022851002</v>
      </c>
      <c r="AA134" s="9">
        <f t="shared" si="257"/>
        <v>36.714891880175095</v>
      </c>
      <c r="AB134" s="4">
        <f t="shared" si="258"/>
        <v>71.759372903026104</v>
      </c>
      <c r="AC134" s="69">
        <f t="shared" si="287"/>
        <v>2.0586354668444073</v>
      </c>
      <c r="AD134" s="69">
        <f t="shared" si="277"/>
        <v>113.53472091275168</v>
      </c>
      <c r="AE134" s="64">
        <f t="shared" si="288"/>
        <v>2.4243613672991131</v>
      </c>
      <c r="AF134" s="59"/>
      <c r="AG134" s="128">
        <f t="shared" si="247"/>
        <v>157</v>
      </c>
      <c r="AH134" s="128">
        <f t="shared" si="261"/>
        <v>2.0586354668444073</v>
      </c>
      <c r="AI134" s="128">
        <f t="shared" si="262"/>
        <v>0.36572590045472708</v>
      </c>
      <c r="AJ134" s="128">
        <f t="shared" si="263"/>
        <v>2.4243613672991131</v>
      </c>
      <c r="AK134" s="128">
        <f t="shared" si="278"/>
        <v>0.56967247785264874</v>
      </c>
      <c r="AL134" s="59"/>
      <c r="AM134" s="134">
        <f t="shared" si="289"/>
        <v>-1.8750000000000044E-2</v>
      </c>
      <c r="AN134" s="135">
        <f t="shared" si="290"/>
        <v>2.9535347007329849E-2</v>
      </c>
      <c r="AO134" s="135">
        <f t="shared" si="291"/>
        <v>8.8319062533257497E-3</v>
      </c>
      <c r="AP134" s="134">
        <f t="shared" si="292"/>
        <v>2.181939989409698E-2</v>
      </c>
      <c r="AQ134" s="134">
        <f t="shared" si="293"/>
        <v>0</v>
      </c>
    </row>
    <row r="135" spans="1:43">
      <c r="A135" s="59"/>
      <c r="B135" s="20">
        <f t="shared" si="269"/>
        <v>183</v>
      </c>
      <c r="C135" s="18">
        <f t="shared" si="282"/>
        <v>162.89629500000001</v>
      </c>
      <c r="D135" s="140">
        <f t="shared" si="270"/>
        <v>25</v>
      </c>
      <c r="E135" s="63">
        <f t="shared" si="270"/>
        <v>86</v>
      </c>
      <c r="F135" s="63">
        <f t="shared" si="270"/>
        <v>156</v>
      </c>
      <c r="G135" s="20">
        <f t="shared" si="283"/>
        <v>20</v>
      </c>
      <c r="H135" s="61">
        <f>DEGREES(ACOS((F135-D135)/2/(E135+2)))</f>
        <v>41.899430705746099</v>
      </c>
      <c r="I135" s="69">
        <f t="shared" si="271"/>
        <v>0.48980859647524255</v>
      </c>
      <c r="J135" s="61"/>
      <c r="K135" s="63"/>
      <c r="L135" s="62">
        <f>((F135-D135)/2)*TAN(RADIANS(H135))</f>
        <v>58.768614072479217</v>
      </c>
      <c r="M135" s="62">
        <f t="shared" si="272"/>
        <v>-0.76079042647406681</v>
      </c>
      <c r="N135" s="63"/>
      <c r="O135" s="63"/>
      <c r="P135" s="23">
        <f t="shared" si="294"/>
        <v>1</v>
      </c>
      <c r="Q135" s="20">
        <f t="shared" si="253"/>
        <v>183</v>
      </c>
      <c r="R135" s="23">
        <f t="shared" si="294"/>
        <v>0.3</v>
      </c>
      <c r="S135" s="61">
        <f t="shared" si="295"/>
        <v>54.9</v>
      </c>
      <c r="T135" s="61">
        <f t="shared" si="296"/>
        <v>27.45</v>
      </c>
      <c r="U135" s="61">
        <f t="shared" si="284"/>
        <v>50.55</v>
      </c>
      <c r="V135" s="61"/>
      <c r="W135" s="61">
        <f t="shared" si="285"/>
        <v>53.600881571728131</v>
      </c>
      <c r="X135" s="63">
        <f t="shared" si="286"/>
        <v>35.995808364404432</v>
      </c>
      <c r="Y135" s="61">
        <f t="shared" si="297"/>
        <v>62.056431736016918</v>
      </c>
      <c r="Z135" s="9">
        <f t="shared" si="298"/>
        <v>35.45403126730951</v>
      </c>
      <c r="AA135" s="9">
        <f t="shared" si="257"/>
        <v>37.006070931931845</v>
      </c>
      <c r="AB135" s="4">
        <f t="shared" si="258"/>
        <v>72.460102199241362</v>
      </c>
      <c r="AC135" s="69">
        <f t="shared" si="287"/>
        <v>2.7593647630596649</v>
      </c>
      <c r="AD135" s="69">
        <f t="shared" si="277"/>
        <v>114.35953290498746</v>
      </c>
      <c r="AE135" s="64">
        <f t="shared" si="288"/>
        <v>3.2491733595348933</v>
      </c>
      <c r="AF135" s="59"/>
      <c r="AG135" s="128">
        <f t="shared" si="247"/>
        <v>156</v>
      </c>
      <c r="AH135" s="128">
        <f t="shared" si="261"/>
        <v>2.7593647630596649</v>
      </c>
      <c r="AI135" s="128">
        <f t="shared" si="262"/>
        <v>0.48980859647524255</v>
      </c>
      <c r="AJ135" s="128">
        <f t="shared" si="263"/>
        <v>3.2491733595348933</v>
      </c>
      <c r="AK135" s="128">
        <f t="shared" si="278"/>
        <v>0.76079042647406681</v>
      </c>
      <c r="AL135" s="59"/>
      <c r="AM135" s="134">
        <f t="shared" si="289"/>
        <v>-2.5000000000000022E-2</v>
      </c>
      <c r="AN135" s="135">
        <f t="shared" si="290"/>
        <v>3.9588745608124309E-2</v>
      </c>
      <c r="AO135" s="135">
        <f t="shared" si="291"/>
        <v>1.182837638997869E-2</v>
      </c>
      <c r="AP135" s="134">
        <f t="shared" si="292"/>
        <v>2.9242758036488459E-2</v>
      </c>
      <c r="AQ135" s="134">
        <f t="shared" si="293"/>
        <v>0</v>
      </c>
    </row>
    <row r="136" spans="1:43">
      <c r="A136" s="59"/>
      <c r="B136" s="20">
        <f t="shared" si="269"/>
        <v>183</v>
      </c>
      <c r="C136" s="91">
        <f t="shared" si="282"/>
        <v>162.89629500000001</v>
      </c>
      <c r="D136" s="140">
        <f t="shared" si="270"/>
        <v>25</v>
      </c>
      <c r="E136" s="63">
        <f t="shared" si="270"/>
        <v>85.5</v>
      </c>
      <c r="F136" s="63">
        <f t="shared" si="270"/>
        <v>155</v>
      </c>
      <c r="G136" s="90">
        <f t="shared" si="283"/>
        <v>20</v>
      </c>
      <c r="H136" s="92">
        <f>DEGREES(ACOS((F136-D136)/2/(E136+2)))</f>
        <v>42.024627579377224</v>
      </c>
      <c r="I136" s="93">
        <f t="shared" si="271"/>
        <v>0.61500547010636808</v>
      </c>
      <c r="J136" s="92"/>
      <c r="K136" s="94"/>
      <c r="L136" s="95">
        <f>((F136-D136)/2)*TAN(RADIANS(H136))</f>
        <v>58.576872569299901</v>
      </c>
      <c r="M136" s="95">
        <f t="shared" si="272"/>
        <v>-0.95253192965338229</v>
      </c>
      <c r="N136" s="94"/>
      <c r="O136" s="94"/>
      <c r="P136" s="96">
        <f t="shared" si="294"/>
        <v>1</v>
      </c>
      <c r="Q136" s="90">
        <f t="shared" si="253"/>
        <v>183</v>
      </c>
      <c r="R136" s="96">
        <f t="shared" si="294"/>
        <v>0.3</v>
      </c>
      <c r="S136" s="92">
        <f t="shared" si="295"/>
        <v>54.9</v>
      </c>
      <c r="T136" s="92">
        <f t="shared" si="296"/>
        <v>27.45</v>
      </c>
      <c r="U136" s="92">
        <f t="shared" si="284"/>
        <v>50.05</v>
      </c>
      <c r="V136" s="92"/>
      <c r="W136" s="92">
        <f t="shared" si="285"/>
        <v>53.600881571728131</v>
      </c>
      <c r="X136" s="94">
        <f>X$131 -M136</f>
        <v>36.187549867583748</v>
      </c>
      <c r="Y136" s="92">
        <f t="shared" si="297"/>
        <v>61.761972648376933</v>
      </c>
      <c r="Z136" s="105">
        <f t="shared" si="298"/>
        <v>35.86798162700731</v>
      </c>
      <c r="AA136" s="105">
        <f t="shared" si="257"/>
        <v>37.300133220866137</v>
      </c>
      <c r="AB136" s="97">
        <f t="shared" si="258"/>
        <v>73.168114847873454</v>
      </c>
      <c r="AC136" s="93">
        <f t="shared" si="287"/>
        <v>3.4673774116917571</v>
      </c>
      <c r="AD136" s="93">
        <f t="shared" si="277"/>
        <v>115.19274242725068</v>
      </c>
      <c r="AE136" s="98">
        <f t="shared" si="288"/>
        <v>4.0823828817981109</v>
      </c>
      <c r="AF136" s="59"/>
      <c r="AG136" s="128">
        <f t="shared" si="247"/>
        <v>155</v>
      </c>
      <c r="AH136" s="128">
        <f t="shared" si="261"/>
        <v>3.4673774116917571</v>
      </c>
      <c r="AI136" s="128">
        <f t="shared" si="262"/>
        <v>0.61500547010636808</v>
      </c>
      <c r="AJ136" s="128">
        <f t="shared" si="263"/>
        <v>4.0823828817981109</v>
      </c>
      <c r="AK136" s="128">
        <f t="shared" si="278"/>
        <v>0.95253192965338229</v>
      </c>
      <c r="AL136" s="59"/>
      <c r="AM136" s="134">
        <f t="shared" si="289"/>
        <v>-3.125E-2</v>
      </c>
      <c r="AN136" s="135">
        <f t="shared" si="290"/>
        <v>4.9746638833864543E-2</v>
      </c>
      <c r="AO136" s="135">
        <f t="shared" si="291"/>
        <v>1.4851752775804306E-2</v>
      </c>
      <c r="AP136" s="134">
        <f t="shared" si="292"/>
        <v>3.6741694460345364E-2</v>
      </c>
      <c r="AQ136" s="134">
        <f t="shared" si="293"/>
        <v>0</v>
      </c>
    </row>
    <row r="137" spans="1:43" ht="15.75" thickBot="1">
      <c r="A137" s="87"/>
      <c r="B137" s="87"/>
      <c r="C137" s="100"/>
      <c r="D137" s="87"/>
      <c r="E137" s="87"/>
      <c r="F137" s="87"/>
      <c r="G137" s="87"/>
      <c r="H137" s="100"/>
      <c r="I137" s="101"/>
      <c r="J137" s="100"/>
      <c r="K137" s="100"/>
      <c r="L137" s="100"/>
      <c r="M137" s="100"/>
      <c r="N137" s="100"/>
      <c r="O137" s="100"/>
      <c r="P137" s="106"/>
      <c r="Q137" s="87"/>
      <c r="R137" s="106"/>
      <c r="S137" s="100"/>
      <c r="T137" s="100"/>
      <c r="U137" s="100"/>
      <c r="V137" s="100"/>
      <c r="W137" s="100"/>
      <c r="X137" s="100"/>
      <c r="Y137" s="100"/>
      <c r="Z137" s="100"/>
      <c r="AA137" s="100"/>
      <c r="AB137" s="101"/>
      <c r="AC137" s="101"/>
      <c r="AD137" s="101"/>
      <c r="AE137" s="101"/>
      <c r="AF137" s="87"/>
      <c r="AG137" s="87"/>
      <c r="AH137" s="87"/>
      <c r="AI137" s="87"/>
      <c r="AJ137" s="87"/>
      <c r="AK137" s="87"/>
      <c r="AL137" s="87"/>
      <c r="AM137" s="87"/>
      <c r="AN137" s="87"/>
      <c r="AO137" s="87"/>
      <c r="AP137" s="87"/>
      <c r="AQ137" s="87"/>
    </row>
    <row r="138" spans="1:43">
      <c r="A138" s="15" t="s">
        <v>54</v>
      </c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59"/>
      <c r="AB138" s="59"/>
      <c r="AC138" s="59"/>
      <c r="AD138" s="59"/>
      <c r="AE138" s="59"/>
      <c r="AF138" s="59"/>
      <c r="AG138" s="59" t="s">
        <v>110</v>
      </c>
      <c r="AH138" s="59"/>
      <c r="AI138" s="59"/>
      <c r="AJ138" s="59"/>
      <c r="AK138" s="59"/>
      <c r="AL138" s="59"/>
      <c r="AM138" s="59"/>
      <c r="AN138" s="59"/>
      <c r="AO138" s="59"/>
      <c r="AP138" s="59"/>
      <c r="AQ138" s="59"/>
    </row>
    <row r="139" spans="1:43">
      <c r="A139" s="60" t="s">
        <v>107</v>
      </c>
      <c r="B139" s="2"/>
      <c r="C139" s="2"/>
      <c r="D139" s="20" t="s">
        <v>105</v>
      </c>
      <c r="E139" s="60">
        <v>0.5</v>
      </c>
      <c r="F139" s="60">
        <v>1</v>
      </c>
      <c r="G139" s="59"/>
      <c r="H139" s="59"/>
      <c r="I139" s="59"/>
      <c r="J139" s="59"/>
      <c r="K139" s="59"/>
      <c r="L139" s="59"/>
      <c r="M139" s="59"/>
      <c r="N139" s="59"/>
      <c r="O139" s="59"/>
      <c r="P139" s="2" t="s">
        <v>52</v>
      </c>
      <c r="Q139" s="2"/>
      <c r="R139" s="2"/>
      <c r="S139" s="138"/>
      <c r="T139" s="138"/>
      <c r="U139" s="59"/>
      <c r="V139" s="59"/>
      <c r="W139" s="59"/>
      <c r="X139" s="59"/>
      <c r="Y139" s="59"/>
      <c r="Z139" s="59"/>
      <c r="AA139" s="59"/>
      <c r="AB139" s="59"/>
      <c r="AC139" s="59"/>
      <c r="AD139" s="59"/>
      <c r="AE139" s="59"/>
      <c r="AF139" s="59"/>
      <c r="AG139" s="59"/>
      <c r="AH139" s="59"/>
      <c r="AI139" s="59"/>
      <c r="AJ139" s="59"/>
      <c r="AK139" s="59"/>
      <c r="AL139" s="59"/>
      <c r="AM139" s="59" t="s">
        <v>111</v>
      </c>
      <c r="AN139" s="59"/>
      <c r="AO139" s="59"/>
      <c r="AP139" s="59"/>
      <c r="AQ139" s="59"/>
    </row>
    <row r="140" spans="1:43" ht="135">
      <c r="A140" s="35"/>
      <c r="B140" s="28" t="s">
        <v>12</v>
      </c>
      <c r="C140" s="28" t="s">
        <v>8</v>
      </c>
      <c r="D140" s="65" t="s">
        <v>42</v>
      </c>
      <c r="E140" s="28" t="s">
        <v>3</v>
      </c>
      <c r="F140" s="28" t="s">
        <v>4</v>
      </c>
      <c r="G140" s="143" t="s">
        <v>49</v>
      </c>
      <c r="H140" s="28" t="s">
        <v>41</v>
      </c>
      <c r="I140" s="66" t="s">
        <v>1</v>
      </c>
      <c r="J140" s="66" t="s">
        <v>6</v>
      </c>
      <c r="K140" s="66" t="s">
        <v>5</v>
      </c>
      <c r="L140" s="35"/>
      <c r="M140" s="66" t="s">
        <v>21</v>
      </c>
      <c r="N140" s="66" t="s">
        <v>20</v>
      </c>
      <c r="O140" s="66" t="s">
        <v>91</v>
      </c>
      <c r="P140" s="31" t="s">
        <v>49</v>
      </c>
      <c r="Q140" s="46" t="s">
        <v>112</v>
      </c>
      <c r="R140" s="28" t="s">
        <v>18</v>
      </c>
      <c r="S140" s="28" t="s">
        <v>19</v>
      </c>
      <c r="T140" s="73" t="s">
        <v>83</v>
      </c>
      <c r="U140" s="27"/>
      <c r="V140" s="27"/>
      <c r="W140" s="27"/>
      <c r="X140" s="35"/>
      <c r="Y140" s="35"/>
      <c r="Z140" s="35"/>
      <c r="AA140" s="35"/>
      <c r="AB140" s="35"/>
      <c r="AC140" s="35"/>
      <c r="AD140" s="35"/>
      <c r="AE140" s="35"/>
      <c r="AF140" s="35"/>
      <c r="AG140" s="28" t="str">
        <f>F140</f>
        <v>span (cm)</v>
      </c>
      <c r="AH140" s="28" t="s">
        <v>113</v>
      </c>
      <c r="AI140" s="28" t="s">
        <v>114</v>
      </c>
      <c r="AJ140" s="28" t="s">
        <v>115</v>
      </c>
      <c r="AK140" s="28" t="str">
        <f>T140</f>
        <v>change in distance between handles (cm / cm)</v>
      </c>
      <c r="AL140" s="35"/>
      <c r="AM140" s="28" t="str">
        <f>AG140</f>
        <v>span (cm)</v>
      </c>
      <c r="AN140" s="28" t="str">
        <f t="shared" ref="AN140:AQ140" si="299">AH140</f>
        <v>Change in catch angle (deg)</v>
      </c>
      <c r="AO140" s="28" t="str">
        <f t="shared" si="299"/>
        <v>Change in finish angle (deg)</v>
      </c>
      <c r="AP140" s="28" t="str">
        <f t="shared" si="299"/>
        <v>Change in sweep angle (deg)</v>
      </c>
      <c r="AQ140" s="28" t="str">
        <f t="shared" si="299"/>
        <v>change in distance between handles (cm / cm)</v>
      </c>
    </row>
    <row r="141" spans="1:43">
      <c r="A141" s="35"/>
      <c r="B141" s="20">
        <f>B$146</f>
        <v>183</v>
      </c>
      <c r="C141" s="18">
        <f t="shared" ref="C141:C145" si="300">100*(0.297865*B141/100+1.08387)</f>
        <v>162.89629500000001</v>
      </c>
      <c r="D141" s="63">
        <f>F141-2*(E141+2)*COS(RADIANS(I141))</f>
        <v>23.401977414937022</v>
      </c>
      <c r="E141" s="63">
        <f t="shared" ref="E141" si="301">5*E139+E146</f>
        <v>90.5</v>
      </c>
      <c r="F141" s="63">
        <f>5*F139+F146</f>
        <v>165</v>
      </c>
      <c r="G141" s="140">
        <f t="shared" ref="G141:G144" si="302">G$146</f>
        <v>59.529404498953284</v>
      </c>
      <c r="H141" s="20">
        <f t="shared" ref="H141:H151" si="303">(E141+2)*2 -F141</f>
        <v>20</v>
      </c>
      <c r="I141" s="9">
        <f t="shared" ref="I141:I151" si="304">DEGREES(ASIN(G141/(E141+2)))</f>
        <v>40.057879451681579</v>
      </c>
      <c r="J141" s="9">
        <f t="shared" ref="J141:J151" si="305">DEGREES(C141/(E141-6+2))</f>
        <v>107.8990774776649</v>
      </c>
      <c r="K141" s="9">
        <f t="shared" ref="K141:K151" si="306">J141-I141</f>
        <v>67.841198025983317</v>
      </c>
      <c r="L141" s="35"/>
      <c r="M141" s="69">
        <f t="shared" ref="M141:M145" si="307">K141-K$146</f>
        <v>-1.8595394101984084</v>
      </c>
      <c r="N141" s="69">
        <f t="shared" ref="N141:N145" si="308">J141-J$146</f>
        <v>-3.2112820677876641</v>
      </c>
      <c r="O141" s="9">
        <f t="shared" ref="O141:O145" si="309">J141-J$146</f>
        <v>-3.2112820677876641</v>
      </c>
      <c r="P141" s="62">
        <f t="shared" ref="P141:P151" si="310">((F141-D141)/2)*TAN(RADIANS(I141))</f>
        <v>59.529404498953284</v>
      </c>
      <c r="Q141" s="62">
        <f>P$146-P141</f>
        <v>0</v>
      </c>
      <c r="R141" s="61">
        <f t="shared" ref="R141:R151" si="311">(E141+2)*SIN(RADIANS(K141))</f>
        <v>85.668137639206208</v>
      </c>
      <c r="S141" s="61">
        <f t="shared" ref="S141:S151" si="312">(F141/2)- (E141+2)*COS(RADIANS(K141))</f>
        <v>47.611317115287655</v>
      </c>
      <c r="T141" s="61">
        <f t="shared" ref="T141:T151" si="313">D141-D$146</f>
        <v>-1.5980225850629779</v>
      </c>
      <c r="U141" s="27"/>
      <c r="V141" s="27"/>
      <c r="W141" s="27"/>
      <c r="X141" s="35"/>
      <c r="Y141" s="35"/>
      <c r="Z141" s="35"/>
      <c r="AA141" s="35"/>
      <c r="AB141" s="35"/>
      <c r="AC141" s="35"/>
      <c r="AD141" s="35"/>
      <c r="AE141" s="35"/>
      <c r="AF141" s="35"/>
      <c r="AG141" s="128">
        <f>F141</f>
        <v>165</v>
      </c>
      <c r="AH141" s="128">
        <f>M141</f>
        <v>-1.8595394101984084</v>
      </c>
      <c r="AI141" s="128">
        <f>N141</f>
        <v>-3.2112820677876641</v>
      </c>
      <c r="AJ141" s="128">
        <f t="shared" ref="AJ141:AJ151" si="314">O141</f>
        <v>-3.2112820677876641</v>
      </c>
      <c r="AK141" s="128">
        <f>T141</f>
        <v>-1.5980225850629779</v>
      </c>
      <c r="AL141" s="35"/>
      <c r="AM141" s="134">
        <f t="shared" ref="AM141:AM145" si="315">AG141/AG$146-1</f>
        <v>3.125E-2</v>
      </c>
      <c r="AN141" s="135">
        <f t="shared" ref="AN141:AN145" si="316">K141/K$146-1</f>
        <v>-2.6678905827947852E-2</v>
      </c>
      <c r="AO141" s="135">
        <f t="shared" ref="AO141:AP145" si="317">I141/I$146-1</f>
        <v>-3.2643201959735801E-2</v>
      </c>
      <c r="AP141" s="135">
        <f t="shared" si="317"/>
        <v>-2.8901734104046395E-2</v>
      </c>
      <c r="AQ141" s="134">
        <f t="shared" ref="AQ141:AQ145" si="318">(Q141+60)/(Q$146+60) -1</f>
        <v>0</v>
      </c>
    </row>
    <row r="142" spans="1:43">
      <c r="A142" s="35"/>
      <c r="B142" s="20">
        <f>B$146</f>
        <v>183</v>
      </c>
      <c r="C142" s="18">
        <f t="shared" si="300"/>
        <v>162.89629500000001</v>
      </c>
      <c r="D142" s="63">
        <f>F142-2*(E142+2)*COS(RADIANS(I142))</f>
        <v>23.711012549095642</v>
      </c>
      <c r="E142" s="63">
        <f t="shared" ref="E142" si="319">4*E139+E146</f>
        <v>90</v>
      </c>
      <c r="F142" s="63">
        <f>4*F139+F146</f>
        <v>164</v>
      </c>
      <c r="G142" s="140">
        <f t="shared" si="302"/>
        <v>59.529404498953284</v>
      </c>
      <c r="H142" s="20">
        <f t="shared" si="303"/>
        <v>20</v>
      </c>
      <c r="I142" s="9">
        <f t="shared" si="304"/>
        <v>40.320209135121658</v>
      </c>
      <c r="J142" s="9">
        <f t="shared" si="305"/>
        <v>108.52639769555832</v>
      </c>
      <c r="K142" s="9">
        <f t="shared" si="306"/>
        <v>68.206188560436658</v>
      </c>
      <c r="L142" s="35"/>
      <c r="M142" s="69">
        <f t="shared" si="307"/>
        <v>-1.4945488757450676</v>
      </c>
      <c r="N142" s="69">
        <f t="shared" si="308"/>
        <v>-2.5839618498942514</v>
      </c>
      <c r="O142" s="9">
        <f t="shared" si="309"/>
        <v>-2.5839618498942514</v>
      </c>
      <c r="P142" s="62">
        <f t="shared" si="310"/>
        <v>59.529404498953291</v>
      </c>
      <c r="Q142" s="62">
        <f t="shared" ref="Q142:Q151" si="320">P$146-P142</f>
        <v>0</v>
      </c>
      <c r="R142" s="61">
        <f t="shared" si="311"/>
        <v>85.424385853051547</v>
      </c>
      <c r="S142" s="61">
        <f t="shared" si="312"/>
        <v>47.843385682580198</v>
      </c>
      <c r="T142" s="61">
        <f t="shared" si="313"/>
        <v>-1.288987450904358</v>
      </c>
      <c r="U142" s="27"/>
      <c r="V142" s="27"/>
      <c r="W142" s="27"/>
      <c r="X142" s="35"/>
      <c r="Y142" s="35"/>
      <c r="Z142" s="35"/>
      <c r="AA142" s="35"/>
      <c r="AB142" s="35"/>
      <c r="AC142" s="35"/>
      <c r="AD142" s="35"/>
      <c r="AE142" s="35"/>
      <c r="AF142" s="35"/>
      <c r="AG142" s="128">
        <f t="shared" ref="AG142:AG151" si="321">F142</f>
        <v>164</v>
      </c>
      <c r="AH142" s="128">
        <f t="shared" ref="AH142:AI151" si="322">M142</f>
        <v>-1.4945488757450676</v>
      </c>
      <c r="AI142" s="128">
        <f t="shared" si="322"/>
        <v>-2.5839618498942514</v>
      </c>
      <c r="AJ142" s="128">
        <f t="shared" si="314"/>
        <v>-2.5839618498942514</v>
      </c>
      <c r="AK142" s="128">
        <f t="shared" ref="AK142:AK151" si="323">T142</f>
        <v>-1.288987450904358</v>
      </c>
      <c r="AL142" s="35"/>
      <c r="AM142" s="134">
        <f t="shared" si="315"/>
        <v>2.4999999999999911E-2</v>
      </c>
      <c r="AN142" s="135">
        <f t="shared" si="316"/>
        <v>-2.1442368197516992E-2</v>
      </c>
      <c r="AO142" s="135">
        <f t="shared" si="317"/>
        <v>-2.6308208543281864E-2</v>
      </c>
      <c r="AP142" s="135">
        <f t="shared" si="317"/>
        <v>-2.3255813953488413E-2</v>
      </c>
      <c r="AQ142" s="134">
        <f t="shared" si="318"/>
        <v>0</v>
      </c>
    </row>
    <row r="143" spans="1:43">
      <c r="A143" s="35"/>
      <c r="B143" s="20">
        <f>B$146</f>
        <v>183</v>
      </c>
      <c r="C143" s="18">
        <f t="shared" si="300"/>
        <v>162.89629500000001</v>
      </c>
      <c r="D143" s="63">
        <f>F143-2*(E143+2)*COS(RADIANS(I143))</f>
        <v>24.025182137194349</v>
      </c>
      <c r="E143" s="63">
        <f t="shared" ref="E143" si="324">3*E139+E146</f>
        <v>89.5</v>
      </c>
      <c r="F143" s="63">
        <f>3*F139+F146</f>
        <v>163</v>
      </c>
      <c r="G143" s="140">
        <f t="shared" si="302"/>
        <v>59.529404498953284</v>
      </c>
      <c r="H143" s="20">
        <f t="shared" si="303"/>
        <v>20</v>
      </c>
      <c r="I143" s="9">
        <f t="shared" si="304"/>
        <v>40.586446023621605</v>
      </c>
      <c r="J143" s="9">
        <f t="shared" si="305"/>
        <v>109.16105499202357</v>
      </c>
      <c r="K143" s="9">
        <f t="shared" si="306"/>
        <v>68.574608968401961</v>
      </c>
      <c r="L143" s="35"/>
      <c r="M143" s="69">
        <f t="shared" si="307"/>
        <v>-1.1261284677797647</v>
      </c>
      <c r="N143" s="69">
        <f t="shared" si="308"/>
        <v>-1.9493045534290019</v>
      </c>
      <c r="O143" s="9">
        <f t="shared" si="309"/>
        <v>-1.9493045534290019</v>
      </c>
      <c r="P143" s="62">
        <f t="shared" si="310"/>
        <v>59.529404498953284</v>
      </c>
      <c r="Q143" s="62">
        <f t="shared" si="320"/>
        <v>0</v>
      </c>
      <c r="R143" s="61">
        <f t="shared" si="311"/>
        <v>85.176803443538816</v>
      </c>
      <c r="S143" s="61">
        <f t="shared" si="312"/>
        <v>48.076024246945806</v>
      </c>
      <c r="T143" s="61">
        <f t="shared" si="313"/>
        <v>-0.97481786280565075</v>
      </c>
      <c r="U143" s="27"/>
      <c r="V143" s="27"/>
      <c r="W143" s="27"/>
      <c r="X143" s="35"/>
      <c r="Y143" s="35"/>
      <c r="Z143" s="35"/>
      <c r="AA143" s="35"/>
      <c r="AB143" s="35"/>
      <c r="AC143" s="35"/>
      <c r="AD143" s="35"/>
      <c r="AE143" s="35"/>
      <c r="AF143" s="35"/>
      <c r="AG143" s="128">
        <f t="shared" si="321"/>
        <v>163</v>
      </c>
      <c r="AH143" s="128">
        <f t="shared" si="322"/>
        <v>-1.1261284677797647</v>
      </c>
      <c r="AI143" s="128">
        <f t="shared" si="322"/>
        <v>-1.9493045534290019</v>
      </c>
      <c r="AJ143" s="128">
        <f t="shared" si="314"/>
        <v>-1.9493045534290019</v>
      </c>
      <c r="AK143" s="128">
        <f t="shared" si="323"/>
        <v>-0.97481786280565075</v>
      </c>
      <c r="AL143" s="35"/>
      <c r="AM143" s="134">
        <f t="shared" si="315"/>
        <v>1.8750000000000044E-2</v>
      </c>
      <c r="AN143" s="135">
        <f t="shared" si="316"/>
        <v>-1.6156621998595799E-2</v>
      </c>
      <c r="AO143" s="135">
        <f t="shared" si="317"/>
        <v>-1.9878860122825137E-2</v>
      </c>
      <c r="AP143" s="135">
        <f t="shared" si="317"/>
        <v>-1.7543859649122862E-2</v>
      </c>
      <c r="AQ143" s="134">
        <f t="shared" si="318"/>
        <v>0</v>
      </c>
    </row>
    <row r="144" spans="1:43">
      <c r="A144" s="35"/>
      <c r="B144" s="20">
        <f>B$146</f>
        <v>183</v>
      </c>
      <c r="C144" s="18">
        <f t="shared" si="300"/>
        <v>162.89629500000001</v>
      </c>
      <c r="D144" s="63">
        <f>F144-2*(E144+2)*COS(RADIANS(I144))</f>
        <v>24.344633232118383</v>
      </c>
      <c r="E144" s="63">
        <f t="shared" ref="E144" si="325">2*E139+E146</f>
        <v>89</v>
      </c>
      <c r="F144" s="63">
        <f>2*F139+F146</f>
        <v>162</v>
      </c>
      <c r="G144" s="140">
        <f t="shared" si="302"/>
        <v>59.529404498953284</v>
      </c>
      <c r="H144" s="20">
        <f t="shared" si="303"/>
        <v>20</v>
      </c>
      <c r="I144" s="9">
        <f t="shared" si="304"/>
        <v>40.856690357247814</v>
      </c>
      <c r="J144" s="9">
        <f t="shared" si="305"/>
        <v>109.80317884491782</v>
      </c>
      <c r="K144" s="9">
        <f t="shared" si="306"/>
        <v>68.94648848767001</v>
      </c>
      <c r="L144" s="35"/>
      <c r="M144" s="69">
        <f t="shared" si="307"/>
        <v>-0.75424894851171587</v>
      </c>
      <c r="N144" s="69">
        <f t="shared" si="308"/>
        <v>-1.3071807005347438</v>
      </c>
      <c r="O144" s="9">
        <f t="shared" si="309"/>
        <v>-1.3071807005347438</v>
      </c>
      <c r="P144" s="62">
        <f t="shared" si="310"/>
        <v>59.529404498953291</v>
      </c>
      <c r="Q144" s="62">
        <f t="shared" si="320"/>
        <v>0</v>
      </c>
      <c r="R144" s="61">
        <f t="shared" si="311"/>
        <v>84.925324200926994</v>
      </c>
      <c r="S144" s="61">
        <f t="shared" si="312"/>
        <v>48.309186162356831</v>
      </c>
      <c r="T144" s="61">
        <f t="shared" si="313"/>
        <v>-0.65536676788161685</v>
      </c>
      <c r="U144" s="27"/>
      <c r="V144" s="27"/>
      <c r="W144" s="27"/>
      <c r="X144" s="35"/>
      <c r="Y144" s="35"/>
      <c r="Z144" s="35"/>
      <c r="AA144" s="35"/>
      <c r="AB144" s="35"/>
      <c r="AC144" s="35"/>
      <c r="AD144" s="35"/>
      <c r="AE144" s="35"/>
      <c r="AF144" s="35"/>
      <c r="AG144" s="128">
        <f t="shared" si="321"/>
        <v>162</v>
      </c>
      <c r="AH144" s="128">
        <f t="shared" si="322"/>
        <v>-0.75424894851171587</v>
      </c>
      <c r="AI144" s="128">
        <f t="shared" si="322"/>
        <v>-1.3071807005347438</v>
      </c>
      <c r="AJ144" s="128">
        <f t="shared" si="314"/>
        <v>-1.3071807005347438</v>
      </c>
      <c r="AK144" s="128">
        <f t="shared" si="323"/>
        <v>-0.65536676788161685</v>
      </c>
      <c r="AL144" s="35"/>
      <c r="AM144" s="134">
        <f t="shared" si="315"/>
        <v>1.2499999999999956E-2</v>
      </c>
      <c r="AN144" s="135">
        <f t="shared" si="316"/>
        <v>-1.0821247755123276E-2</v>
      </c>
      <c r="AO144" s="135">
        <f t="shared" si="317"/>
        <v>-1.3352736003336863E-2</v>
      </c>
      <c r="AP144" s="135">
        <f t="shared" si="317"/>
        <v>-1.176470588235301E-2</v>
      </c>
      <c r="AQ144" s="134">
        <f t="shared" si="318"/>
        <v>0</v>
      </c>
    </row>
    <row r="145" spans="1:43">
      <c r="A145" s="35"/>
      <c r="B145" s="20">
        <f>B$146</f>
        <v>183</v>
      </c>
      <c r="C145" s="18">
        <f t="shared" si="300"/>
        <v>162.89629500000001</v>
      </c>
      <c r="D145" s="63">
        <f>F145-2*(E145+2)*COS(RADIANS(I145))</f>
        <v>24.669519182245978</v>
      </c>
      <c r="E145" s="63">
        <f t="shared" ref="E145" si="326">E146+E139</f>
        <v>88.5</v>
      </c>
      <c r="F145" s="63">
        <f>F146+F139</f>
        <v>161</v>
      </c>
      <c r="G145" s="140">
        <f>G$146</f>
        <v>59.529404498953284</v>
      </c>
      <c r="H145" s="20">
        <f t="shared" si="303"/>
        <v>20</v>
      </c>
      <c r="I145" s="9">
        <f t="shared" si="304"/>
        <v>41.131046291041493</v>
      </c>
      <c r="J145" s="9">
        <f t="shared" si="305"/>
        <v>110.4529017966629</v>
      </c>
      <c r="K145" s="9">
        <f t="shared" si="306"/>
        <v>69.321855505621414</v>
      </c>
      <c r="L145" s="35"/>
      <c r="M145" s="69">
        <f t="shared" si="307"/>
        <v>-0.37888193056031128</v>
      </c>
      <c r="N145" s="69">
        <f t="shared" si="308"/>
        <v>-0.65745774878966756</v>
      </c>
      <c r="O145" s="9">
        <f t="shared" si="309"/>
        <v>-0.65745774878966756</v>
      </c>
      <c r="P145" s="62">
        <f t="shared" si="310"/>
        <v>59.529404498953291</v>
      </c>
      <c r="Q145" s="62">
        <f t="shared" si="320"/>
        <v>0</v>
      </c>
      <c r="R145" s="61">
        <f t="shared" si="311"/>
        <v>84.669881032427071</v>
      </c>
      <c r="S145" s="61">
        <f t="shared" si="312"/>
        <v>48.542821683467636</v>
      </c>
      <c r="T145" s="61">
        <f t="shared" si="313"/>
        <v>-0.33048081775402238</v>
      </c>
      <c r="U145" s="27"/>
      <c r="V145" s="27"/>
      <c r="W145" s="27"/>
      <c r="X145" s="35"/>
      <c r="Y145" s="35"/>
      <c r="Z145" s="35"/>
      <c r="AA145" s="35"/>
      <c r="AB145" s="35"/>
      <c r="AC145" s="35"/>
      <c r="AD145" s="35"/>
      <c r="AE145" s="35"/>
      <c r="AF145" s="35"/>
      <c r="AG145" s="128">
        <f t="shared" si="321"/>
        <v>161</v>
      </c>
      <c r="AH145" s="128">
        <f t="shared" si="322"/>
        <v>-0.37888193056031128</v>
      </c>
      <c r="AI145" s="128">
        <f t="shared" si="322"/>
        <v>-0.65745774878966756</v>
      </c>
      <c r="AJ145" s="128">
        <f t="shared" si="314"/>
        <v>-0.65745774878966756</v>
      </c>
      <c r="AK145" s="128">
        <f t="shared" si="323"/>
        <v>-0.33048081775402238</v>
      </c>
      <c r="AL145" s="35"/>
      <c r="AM145" s="134">
        <f t="shared" si="315"/>
        <v>6.2500000000000888E-3</v>
      </c>
      <c r="AN145" s="135">
        <f t="shared" si="316"/>
        <v>-5.4358381919160648E-3</v>
      </c>
      <c r="AO145" s="135">
        <f t="shared" si="317"/>
        <v>-6.7273209471522266E-3</v>
      </c>
      <c r="AP145" s="135">
        <f t="shared" si="317"/>
        <v>-5.9171597633136397E-3</v>
      </c>
      <c r="AQ145" s="134">
        <f t="shared" si="318"/>
        <v>0</v>
      </c>
    </row>
    <row r="146" spans="1:43">
      <c r="A146" s="59"/>
      <c r="B146" s="60">
        <v>183</v>
      </c>
      <c r="C146" s="18">
        <f>100*(0.297865*B146/100+1.08387)</f>
        <v>162.89629500000001</v>
      </c>
      <c r="D146" s="72">
        <v>25</v>
      </c>
      <c r="E146" s="72">
        <v>88</v>
      </c>
      <c r="F146" s="72">
        <v>160</v>
      </c>
      <c r="G146" s="140">
        <f>(F146-D146)/2*(TAN(ACOS((F146-D146)/2/(E146+2))))</f>
        <v>59.529404498953284</v>
      </c>
      <c r="H146" s="20">
        <f t="shared" si="303"/>
        <v>20</v>
      </c>
      <c r="I146" s="9">
        <f t="shared" si="304"/>
        <v>41.409622109270849</v>
      </c>
      <c r="J146" s="9">
        <f t="shared" si="305"/>
        <v>111.11035954545257</v>
      </c>
      <c r="K146" s="9">
        <f t="shared" si="306"/>
        <v>69.700737436181726</v>
      </c>
      <c r="L146" s="59"/>
      <c r="M146" s="69">
        <f>K146-K$146</f>
        <v>0</v>
      </c>
      <c r="N146" s="69">
        <f>J146-J$146</f>
        <v>0</v>
      </c>
      <c r="O146" s="9">
        <f>J146-J$146</f>
        <v>0</v>
      </c>
      <c r="P146" s="62">
        <f t="shared" si="310"/>
        <v>59.529404498953269</v>
      </c>
      <c r="Q146" s="62">
        <f t="shared" si="320"/>
        <v>0</v>
      </c>
      <c r="R146" s="61">
        <f t="shared" si="311"/>
        <v>84.410405985170343</v>
      </c>
      <c r="S146" s="61">
        <f t="shared" si="312"/>
        <v>48.776877775937912</v>
      </c>
      <c r="T146" s="61">
        <f t="shared" si="313"/>
        <v>0</v>
      </c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59"/>
      <c r="AF146" s="59"/>
      <c r="AG146" s="128">
        <f t="shared" si="321"/>
        <v>160</v>
      </c>
      <c r="AH146" s="128">
        <f t="shared" si="322"/>
        <v>0</v>
      </c>
      <c r="AI146" s="128">
        <f t="shared" si="322"/>
        <v>0</v>
      </c>
      <c r="AJ146" s="128">
        <f t="shared" si="314"/>
        <v>0</v>
      </c>
      <c r="AK146" s="128">
        <f t="shared" si="323"/>
        <v>0</v>
      </c>
      <c r="AL146" s="59"/>
      <c r="AM146" s="134">
        <f>AG146/AG$146-1</f>
        <v>0</v>
      </c>
      <c r="AN146" s="135">
        <f>K146/K$146-1</f>
        <v>0</v>
      </c>
      <c r="AO146" s="135">
        <f>I146/I$146-1</f>
        <v>0</v>
      </c>
      <c r="AP146" s="135">
        <f>J146/J$146-1</f>
        <v>0</v>
      </c>
      <c r="AQ146" s="134">
        <f>(Q146+60)/(Q$146+60) -1</f>
        <v>0</v>
      </c>
    </row>
    <row r="147" spans="1:43">
      <c r="A147" s="59"/>
      <c r="B147" s="20">
        <f>B$146</f>
        <v>183</v>
      </c>
      <c r="C147" s="18">
        <f t="shared" ref="C147:C151" si="327">100*(0.297865*B147/100+1.08387)</f>
        <v>162.89629500000001</v>
      </c>
      <c r="D147" s="63">
        <f>F147-2*(E147+2)*COS(RADIANS(I147))</f>
        <v>25.336242758180703</v>
      </c>
      <c r="E147" s="63">
        <f t="shared" ref="E147" si="328">E146-E139</f>
        <v>87.5</v>
      </c>
      <c r="F147" s="63">
        <f>F146-F139</f>
        <v>159</v>
      </c>
      <c r="G147" s="140">
        <f t="shared" ref="G147:G150" si="329">G$146</f>
        <v>59.529404498953284</v>
      </c>
      <c r="H147" s="20">
        <f t="shared" si="303"/>
        <v>20</v>
      </c>
      <c r="I147" s="9">
        <f t="shared" si="304"/>
        <v>41.692530455105114</v>
      </c>
      <c r="J147" s="9">
        <f t="shared" si="305"/>
        <v>111.77569103973671</v>
      </c>
      <c r="K147" s="9">
        <f t="shared" si="306"/>
        <v>70.083160584631599</v>
      </c>
      <c r="L147" s="59"/>
      <c r="M147" s="69">
        <f t="shared" ref="M147:M151" si="330">K147-K$146</f>
        <v>0.38242314844987391</v>
      </c>
      <c r="N147" s="69">
        <f t="shared" ref="N147:N151" si="331">J147-J$146</f>
        <v>0.66533149428414617</v>
      </c>
      <c r="O147" s="9">
        <f t="shared" ref="O147:O151" si="332">J147-J$146</f>
        <v>0.66533149428414617</v>
      </c>
      <c r="P147" s="62">
        <f t="shared" si="310"/>
        <v>59.529404498953291</v>
      </c>
      <c r="Q147" s="62">
        <f t="shared" si="320"/>
        <v>0</v>
      </c>
      <c r="R147" s="61">
        <f t="shared" si="311"/>
        <v>84.146830273429373</v>
      </c>
      <c r="S147" s="61">
        <f t="shared" si="312"/>
        <v>49.011297913248754</v>
      </c>
      <c r="T147" s="61">
        <f t="shared" si="313"/>
        <v>0.33624275818070259</v>
      </c>
      <c r="U147" s="59"/>
      <c r="V147" s="59"/>
      <c r="W147" s="59"/>
      <c r="X147" s="59"/>
      <c r="Y147" s="59"/>
      <c r="Z147" s="59"/>
      <c r="AA147" s="59"/>
      <c r="AB147" s="59"/>
      <c r="AC147" s="59"/>
      <c r="AD147" s="59"/>
      <c r="AE147" s="59"/>
      <c r="AF147" s="59"/>
      <c r="AG147" s="128">
        <f t="shared" si="321"/>
        <v>159</v>
      </c>
      <c r="AH147" s="128">
        <f t="shared" si="322"/>
        <v>0.38242314844987391</v>
      </c>
      <c r="AI147" s="128">
        <f t="shared" si="322"/>
        <v>0.66533149428414617</v>
      </c>
      <c r="AJ147" s="128">
        <f t="shared" si="314"/>
        <v>0.66533149428414617</v>
      </c>
      <c r="AK147" s="128">
        <f t="shared" si="323"/>
        <v>0.33624275818070259</v>
      </c>
      <c r="AL147" s="59"/>
      <c r="AM147" s="134">
        <f t="shared" ref="AM147:AM151" si="333">AG147/AG$146-1</f>
        <v>-6.2499999999999778E-3</v>
      </c>
      <c r="AN147" s="135">
        <f t="shared" ref="AN147:AN151" si="334">K147/K$146-1</f>
        <v>5.4866442238150626E-3</v>
      </c>
      <c r="AO147" s="135">
        <f t="shared" ref="AO147:AP151" si="335">I147/I$146-1</f>
        <v>6.8319470553903638E-3</v>
      </c>
      <c r="AP147" s="135">
        <f t="shared" si="335"/>
        <v>5.9880239520957446E-3</v>
      </c>
      <c r="AQ147" s="134">
        <f t="shared" ref="AQ147:AQ151" si="336">(Q147+60)/(Q$146+60) -1</f>
        <v>0</v>
      </c>
    </row>
    <row r="148" spans="1:43">
      <c r="A148" s="59"/>
      <c r="B148" s="20">
        <f>B$146</f>
        <v>183</v>
      </c>
      <c r="C148" s="18">
        <f t="shared" si="327"/>
        <v>162.89629500000001</v>
      </c>
      <c r="D148" s="63">
        <f>F148-2*(E148+2)*COS(RADIANS(I148))</f>
        <v>25.678422016664257</v>
      </c>
      <c r="E148" s="63">
        <f t="shared" ref="E148" si="337">E146-2*E139</f>
        <v>87</v>
      </c>
      <c r="F148" s="63">
        <f>F146-2*F139</f>
        <v>158</v>
      </c>
      <c r="G148" s="140">
        <f t="shared" si="329"/>
        <v>59.529404498953284</v>
      </c>
      <c r="H148" s="20">
        <f t="shared" si="303"/>
        <v>20</v>
      </c>
      <c r="I148" s="9">
        <f t="shared" si="304"/>
        <v>41.979888577101427</v>
      </c>
      <c r="J148" s="9">
        <f t="shared" si="305"/>
        <v>112.44903857612067</v>
      </c>
      <c r="K148" s="9">
        <f t="shared" si="306"/>
        <v>70.469149999019237</v>
      </c>
      <c r="L148" s="59"/>
      <c r="M148" s="69">
        <f t="shared" si="330"/>
        <v>0.76841256283751136</v>
      </c>
      <c r="N148" s="69">
        <f t="shared" si="331"/>
        <v>1.3386790306681036</v>
      </c>
      <c r="O148" s="9">
        <f t="shared" si="332"/>
        <v>1.3386790306681036</v>
      </c>
      <c r="P148" s="62">
        <f t="shared" si="310"/>
        <v>59.529404498953284</v>
      </c>
      <c r="Q148" s="62">
        <f t="shared" si="320"/>
        <v>0</v>
      </c>
      <c r="R148" s="61">
        <f t="shared" si="311"/>
        <v>83.8790843105389</v>
      </c>
      <c r="S148" s="61">
        <f t="shared" si="312"/>
        <v>49.246021858825237</v>
      </c>
      <c r="T148" s="61">
        <f t="shared" si="313"/>
        <v>0.67842201666425694</v>
      </c>
      <c r="U148" s="59"/>
      <c r="V148" s="59"/>
      <c r="W148" s="59"/>
      <c r="X148" s="59"/>
      <c r="Y148" s="59"/>
      <c r="Z148" s="59"/>
      <c r="AA148" s="59"/>
      <c r="AB148" s="59"/>
      <c r="AC148" s="59"/>
      <c r="AD148" s="59"/>
      <c r="AE148" s="59"/>
      <c r="AF148" s="59"/>
      <c r="AG148" s="128">
        <f t="shared" si="321"/>
        <v>158</v>
      </c>
      <c r="AH148" s="128">
        <f t="shared" si="322"/>
        <v>0.76841256283751136</v>
      </c>
      <c r="AI148" s="128">
        <f t="shared" si="322"/>
        <v>1.3386790306681036</v>
      </c>
      <c r="AJ148" s="128">
        <f t="shared" si="314"/>
        <v>1.3386790306681036</v>
      </c>
      <c r="AK148" s="128">
        <f t="shared" si="323"/>
        <v>0.67842201666425694</v>
      </c>
      <c r="AL148" s="59"/>
      <c r="AM148" s="134">
        <f t="shared" si="333"/>
        <v>-1.2499999999999956E-2</v>
      </c>
      <c r="AN148" s="135">
        <f t="shared" si="334"/>
        <v>1.1024453845141391E-2</v>
      </c>
      <c r="AO148" s="135">
        <f t="shared" si="335"/>
        <v>1.3771351651695074E-2</v>
      </c>
      <c r="AP148" s="135">
        <f t="shared" si="335"/>
        <v>1.2048192771084265E-2</v>
      </c>
      <c r="AQ148" s="134">
        <f t="shared" si="336"/>
        <v>0</v>
      </c>
    </row>
    <row r="149" spans="1:43">
      <c r="A149" s="59"/>
      <c r="B149" s="20">
        <f>B$146</f>
        <v>183</v>
      </c>
      <c r="C149" s="18">
        <f t="shared" si="327"/>
        <v>162.89629500000001</v>
      </c>
      <c r="D149" s="63">
        <f>F149-2*(E149+2)*COS(RADIANS(I149))</f>
        <v>26.026720282341529</v>
      </c>
      <c r="E149" s="63">
        <f t="shared" ref="E149" si="338">E146-3*E139</f>
        <v>86.5</v>
      </c>
      <c r="F149" s="63">
        <f>F146-3*F139</f>
        <v>157</v>
      </c>
      <c r="G149" s="140">
        <f t="shared" si="329"/>
        <v>59.529404498953284</v>
      </c>
      <c r="H149" s="20">
        <f t="shared" si="303"/>
        <v>20</v>
      </c>
      <c r="I149" s="9">
        <f t="shared" si="304"/>
        <v>42.271818594048675</v>
      </c>
      <c r="J149" s="9">
        <f t="shared" si="305"/>
        <v>113.13054790082442</v>
      </c>
      <c r="K149" s="9">
        <f t="shared" si="306"/>
        <v>70.858729306775757</v>
      </c>
      <c r="L149" s="59"/>
      <c r="M149" s="69">
        <f t="shared" si="330"/>
        <v>1.1579918705940315</v>
      </c>
      <c r="N149" s="69">
        <f t="shared" si="331"/>
        <v>2.0201883553718574</v>
      </c>
      <c r="O149" s="9">
        <f t="shared" si="332"/>
        <v>2.0201883553718574</v>
      </c>
      <c r="P149" s="62">
        <f t="shared" si="310"/>
        <v>59.529404498953291</v>
      </c>
      <c r="Q149" s="62">
        <f t="shared" si="320"/>
        <v>0</v>
      </c>
      <c r="R149" s="61">
        <f t="shared" si="311"/>
        <v>83.607097746009231</v>
      </c>
      <c r="S149" s="61">
        <f t="shared" si="312"/>
        <v>49.480985432147115</v>
      </c>
      <c r="T149" s="61">
        <f t="shared" si="313"/>
        <v>1.0267202823415289</v>
      </c>
      <c r="U149" s="59"/>
      <c r="V149" s="59"/>
      <c r="W149" s="59"/>
      <c r="X149" s="59"/>
      <c r="Y149" s="59"/>
      <c r="Z149" s="59"/>
      <c r="AA149" s="59"/>
      <c r="AB149" s="59"/>
      <c r="AC149" s="59"/>
      <c r="AD149" s="59"/>
      <c r="AE149" s="59"/>
      <c r="AF149" s="59"/>
      <c r="AG149" s="128">
        <f t="shared" si="321"/>
        <v>157</v>
      </c>
      <c r="AH149" s="128">
        <f t="shared" si="322"/>
        <v>1.1579918705940315</v>
      </c>
      <c r="AI149" s="128">
        <f t="shared" si="322"/>
        <v>2.0201883553718574</v>
      </c>
      <c r="AJ149" s="128">
        <f t="shared" si="314"/>
        <v>2.0201883553718574</v>
      </c>
      <c r="AK149" s="128">
        <f t="shared" si="323"/>
        <v>1.0267202823415289</v>
      </c>
      <c r="AL149" s="59"/>
      <c r="AM149" s="134">
        <f t="shared" si="333"/>
        <v>-1.8750000000000044E-2</v>
      </c>
      <c r="AN149" s="135">
        <f t="shared" si="334"/>
        <v>1.6613767847927008E-2</v>
      </c>
      <c r="AO149" s="135">
        <f t="shared" si="335"/>
        <v>2.0821162832703077E-2</v>
      </c>
      <c r="AP149" s="135">
        <f t="shared" si="335"/>
        <v>1.8181818181818077E-2</v>
      </c>
      <c r="AQ149" s="134">
        <f t="shared" si="336"/>
        <v>0</v>
      </c>
    </row>
    <row r="150" spans="1:43">
      <c r="A150" s="59"/>
      <c r="B150" s="20">
        <f>B$146</f>
        <v>183</v>
      </c>
      <c r="C150" s="18">
        <f t="shared" si="327"/>
        <v>162.89629500000001</v>
      </c>
      <c r="D150" s="63">
        <f>F150-2*(E150+2)*COS(RADIANS(I150))</f>
        <v>26.381328505496555</v>
      </c>
      <c r="E150" s="63">
        <f t="shared" ref="E150" si="339">E146-4*E139</f>
        <v>86</v>
      </c>
      <c r="F150" s="63">
        <f>F146-4*F139</f>
        <v>156</v>
      </c>
      <c r="G150" s="140">
        <f t="shared" si="329"/>
        <v>59.529404498953284</v>
      </c>
      <c r="H150" s="20">
        <f t="shared" si="303"/>
        <v>20</v>
      </c>
      <c r="I150" s="9">
        <f t="shared" si="304"/>
        <v>42.568447779882817</v>
      </c>
      <c r="J150" s="9">
        <f t="shared" si="305"/>
        <v>113.82036831485384</v>
      </c>
      <c r="K150" s="9">
        <f t="shared" si="306"/>
        <v>71.251920534971021</v>
      </c>
      <c r="L150" s="59"/>
      <c r="M150" s="69">
        <f t="shared" si="330"/>
        <v>1.5511830987892949</v>
      </c>
      <c r="N150" s="69">
        <f t="shared" si="331"/>
        <v>2.71000876940127</v>
      </c>
      <c r="O150" s="9">
        <f t="shared" si="332"/>
        <v>2.71000876940127</v>
      </c>
      <c r="P150" s="62">
        <f t="shared" si="310"/>
        <v>59.529404498953291</v>
      </c>
      <c r="Q150" s="62">
        <f t="shared" si="320"/>
        <v>0</v>
      </c>
      <c r="R150" s="61">
        <f t="shared" si="311"/>
        <v>83.330799508377112</v>
      </c>
      <c r="S150" s="61">
        <f t="shared" si="312"/>
        <v>49.716120257385882</v>
      </c>
      <c r="T150" s="61">
        <f t="shared" si="313"/>
        <v>1.3813285054965547</v>
      </c>
      <c r="U150" s="59"/>
      <c r="V150" s="59"/>
      <c r="W150" s="59"/>
      <c r="X150" s="59"/>
      <c r="Y150" s="59"/>
      <c r="Z150" s="59"/>
      <c r="AA150" s="59"/>
      <c r="AB150" s="59"/>
      <c r="AC150" s="59"/>
      <c r="AD150" s="59"/>
      <c r="AE150" s="59"/>
      <c r="AF150" s="59"/>
      <c r="AG150" s="128">
        <f t="shared" si="321"/>
        <v>156</v>
      </c>
      <c r="AH150" s="128">
        <f t="shared" si="322"/>
        <v>1.5511830987892949</v>
      </c>
      <c r="AI150" s="128">
        <f t="shared" si="322"/>
        <v>2.71000876940127</v>
      </c>
      <c r="AJ150" s="128">
        <f t="shared" si="314"/>
        <v>2.71000876940127</v>
      </c>
      <c r="AK150" s="128">
        <f t="shared" si="323"/>
        <v>1.3813285054965547</v>
      </c>
      <c r="AL150" s="59"/>
      <c r="AM150" s="134">
        <f t="shared" si="333"/>
        <v>-2.5000000000000022E-2</v>
      </c>
      <c r="AN150" s="135">
        <f t="shared" si="334"/>
        <v>2.2254902255654851E-2</v>
      </c>
      <c r="AO150" s="135">
        <f t="shared" si="335"/>
        <v>2.7984454133729741E-2</v>
      </c>
      <c r="AP150" s="135">
        <f t="shared" si="335"/>
        <v>2.4390243902438824E-2</v>
      </c>
      <c r="AQ150" s="134">
        <f t="shared" si="336"/>
        <v>0</v>
      </c>
    </row>
    <row r="151" spans="1:43">
      <c r="A151" s="59"/>
      <c r="B151" s="20">
        <f>B$146</f>
        <v>183</v>
      </c>
      <c r="C151" s="18">
        <f t="shared" si="327"/>
        <v>162.89629500000001</v>
      </c>
      <c r="D151" s="63">
        <f>F151-2*(E151+2)*COS(RADIANS(I151))</f>
        <v>26.742446616193376</v>
      </c>
      <c r="E151" s="63">
        <f t="shared" ref="E151" si="340">E146-5*E139</f>
        <v>85.5</v>
      </c>
      <c r="F151" s="63">
        <f>F146-5*F139</f>
        <v>155</v>
      </c>
      <c r="G151" s="140">
        <f>G$146</f>
        <v>59.529404498953284</v>
      </c>
      <c r="H151" s="20">
        <f t="shared" si="303"/>
        <v>20</v>
      </c>
      <c r="I151" s="9">
        <f t="shared" si="304"/>
        <v>42.869908870582819</v>
      </c>
      <c r="J151" s="9">
        <f t="shared" si="305"/>
        <v>114.51865278304312</v>
      </c>
      <c r="K151" s="9">
        <f t="shared" si="306"/>
        <v>71.648743912460304</v>
      </c>
      <c r="L151" s="59"/>
      <c r="M151" s="69">
        <f t="shared" si="330"/>
        <v>1.9480064762785787</v>
      </c>
      <c r="N151" s="69">
        <f t="shared" si="331"/>
        <v>3.4082932375905557</v>
      </c>
      <c r="O151" s="9">
        <f t="shared" si="332"/>
        <v>3.4082932375905557</v>
      </c>
      <c r="P151" s="62">
        <f t="shared" si="310"/>
        <v>59.529404498953284</v>
      </c>
      <c r="Q151" s="62">
        <f t="shared" si="320"/>
        <v>0</v>
      </c>
      <c r="R151" s="61">
        <f t="shared" si="311"/>
        <v>83.050117854395822</v>
      </c>
      <c r="S151" s="61">
        <f t="shared" si="312"/>
        <v>49.951353492939717</v>
      </c>
      <c r="T151" s="61">
        <f t="shared" si="313"/>
        <v>1.7424466161933765</v>
      </c>
      <c r="U151" s="59"/>
      <c r="V151" s="59"/>
      <c r="W151" s="59"/>
      <c r="X151" s="59"/>
      <c r="Y151" s="59"/>
      <c r="Z151" s="59"/>
      <c r="AA151" s="59"/>
      <c r="AB151" s="59"/>
      <c r="AC151" s="59"/>
      <c r="AD151" s="59"/>
      <c r="AE151" s="59"/>
      <c r="AF151" s="59"/>
      <c r="AG151" s="128">
        <f t="shared" si="321"/>
        <v>155</v>
      </c>
      <c r="AH151" s="128">
        <f t="shared" si="322"/>
        <v>1.9480064762785787</v>
      </c>
      <c r="AI151" s="128">
        <f t="shared" si="322"/>
        <v>3.4082932375905557</v>
      </c>
      <c r="AJ151" s="128">
        <f t="shared" si="314"/>
        <v>3.4082932375905557</v>
      </c>
      <c r="AK151" s="128">
        <f t="shared" si="323"/>
        <v>1.7424466161933765</v>
      </c>
      <c r="AL151" s="59"/>
      <c r="AM151" s="134">
        <f t="shared" si="333"/>
        <v>-3.125E-2</v>
      </c>
      <c r="AN151" s="135">
        <f t="shared" si="334"/>
        <v>2.7948147292733871E-2</v>
      </c>
      <c r="AO151" s="135">
        <f t="shared" si="335"/>
        <v>3.5264430992840046E-2</v>
      </c>
      <c r="AP151" s="135">
        <f t="shared" si="335"/>
        <v>3.0674846625766694E-2</v>
      </c>
      <c r="AQ151" s="134">
        <f t="shared" si="336"/>
        <v>0</v>
      </c>
    </row>
    <row r="152" spans="1:43">
      <c r="A152" s="12"/>
      <c r="B152" s="5"/>
      <c r="C152" s="13"/>
      <c r="D152" s="13"/>
      <c r="E152" s="13"/>
      <c r="F152" s="13"/>
      <c r="G152" s="13"/>
      <c r="H152" s="5"/>
      <c r="I152" s="13"/>
      <c r="J152" s="13"/>
      <c r="K152" s="13"/>
      <c r="L152" s="12"/>
      <c r="M152" s="104"/>
      <c r="N152" s="104"/>
      <c r="O152" s="13"/>
      <c r="P152" s="13"/>
      <c r="Q152" s="13"/>
      <c r="R152" s="13"/>
      <c r="S152" s="13"/>
      <c r="T152" s="13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31"/>
      <c r="AH152" s="132"/>
      <c r="AI152" s="132"/>
      <c r="AJ152" s="132"/>
      <c r="AK152" s="131"/>
      <c r="AL152" s="12"/>
      <c r="AM152" s="12"/>
      <c r="AN152" s="12"/>
      <c r="AO152" s="12"/>
      <c r="AP152" s="12"/>
      <c r="AQ152" s="12"/>
    </row>
    <row r="153" spans="1:43" ht="18.75">
      <c r="A153" s="15" t="s">
        <v>53</v>
      </c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59"/>
      <c r="AF153" s="59"/>
      <c r="AG153" s="127"/>
      <c r="AH153" s="126"/>
      <c r="AI153" s="126"/>
      <c r="AJ153" s="126"/>
      <c r="AK153" s="127"/>
      <c r="AL153" s="59"/>
      <c r="AM153" s="59"/>
      <c r="AN153" s="59"/>
      <c r="AO153" s="59"/>
      <c r="AP153" s="59"/>
      <c r="AQ153" s="59"/>
    </row>
    <row r="154" spans="1:43">
      <c r="A154" s="20"/>
      <c r="B154" s="20"/>
      <c r="C154" s="20"/>
      <c r="D154" s="20"/>
      <c r="E154" s="20"/>
      <c r="F154" s="20"/>
      <c r="G154" s="59"/>
      <c r="H154" s="59"/>
      <c r="I154" s="59"/>
      <c r="J154" s="59"/>
      <c r="K154" s="59"/>
      <c r="L154" s="59"/>
      <c r="M154" s="236" t="s">
        <v>14</v>
      </c>
      <c r="N154" s="237"/>
      <c r="O154" s="59"/>
      <c r="P154" s="59"/>
      <c r="Q154" s="59"/>
      <c r="R154" s="59"/>
      <c r="S154" s="59"/>
      <c r="T154" s="59"/>
      <c r="U154" s="59"/>
      <c r="V154" s="5"/>
      <c r="W154" s="59"/>
      <c r="X154" s="59"/>
      <c r="Y154" s="59"/>
      <c r="Z154" s="59"/>
      <c r="AA154" s="59"/>
      <c r="AB154" s="59"/>
      <c r="AC154" s="59"/>
      <c r="AD154" s="59"/>
      <c r="AE154" s="59"/>
      <c r="AF154" s="59"/>
      <c r="AG154" s="127"/>
      <c r="AH154" s="126"/>
      <c r="AI154" s="126"/>
      <c r="AJ154" s="126"/>
      <c r="AK154" s="127"/>
      <c r="AL154" s="59"/>
      <c r="AM154" s="59"/>
      <c r="AN154" s="59"/>
      <c r="AO154" s="59"/>
      <c r="AP154" s="59"/>
      <c r="AQ154" s="59"/>
    </row>
    <row r="155" spans="1:43" ht="136.5">
      <c r="A155" s="27"/>
      <c r="B155" s="28" t="s">
        <v>12</v>
      </c>
      <c r="C155" s="28" t="s">
        <v>8</v>
      </c>
      <c r="D155" s="65" t="s">
        <v>42</v>
      </c>
      <c r="E155" s="65" t="s">
        <v>3</v>
      </c>
      <c r="F155" s="28" t="s">
        <v>4</v>
      </c>
      <c r="G155" s="28" t="s">
        <v>41</v>
      </c>
      <c r="H155" s="28" t="s">
        <v>1</v>
      </c>
      <c r="I155" s="55" t="s">
        <v>80</v>
      </c>
      <c r="J155" s="28" t="s">
        <v>6</v>
      </c>
      <c r="K155" s="28" t="s">
        <v>5</v>
      </c>
      <c r="L155" s="31" t="s">
        <v>49</v>
      </c>
      <c r="M155" s="31" t="s">
        <v>9</v>
      </c>
      <c r="N155" s="28" t="s">
        <v>18</v>
      </c>
      <c r="O155" s="28" t="s">
        <v>19</v>
      </c>
      <c r="P155" s="32" t="s">
        <v>25</v>
      </c>
      <c r="Q155" s="28" t="s">
        <v>27</v>
      </c>
      <c r="R155" s="67" t="s">
        <v>26</v>
      </c>
      <c r="S155" s="28" t="s">
        <v>28</v>
      </c>
      <c r="T155" s="28" t="s">
        <v>33</v>
      </c>
      <c r="U155" s="28" t="s">
        <v>34</v>
      </c>
      <c r="V155" s="28" t="s">
        <v>30</v>
      </c>
      <c r="W155" s="28" t="s">
        <v>43</v>
      </c>
      <c r="X155" s="65" t="s">
        <v>29</v>
      </c>
      <c r="Y155" s="28" t="s">
        <v>32</v>
      </c>
      <c r="Z155" s="66" t="s">
        <v>31</v>
      </c>
      <c r="AA155" s="66" t="s">
        <v>35</v>
      </c>
      <c r="AB155" s="28" t="s">
        <v>36</v>
      </c>
      <c r="AC155" s="66" t="s">
        <v>37</v>
      </c>
      <c r="AD155" s="66" t="s">
        <v>48</v>
      </c>
      <c r="AE155" s="68" t="s">
        <v>38</v>
      </c>
      <c r="AF155" s="27"/>
      <c r="AG155" s="133" t="str">
        <f t="shared" ref="AG155:AG166" si="341">F155</f>
        <v>span (cm)</v>
      </c>
      <c r="AH155" s="28" t="s">
        <v>113</v>
      </c>
      <c r="AI155" s="28" t="s">
        <v>114</v>
      </c>
      <c r="AJ155" s="28" t="s">
        <v>115</v>
      </c>
      <c r="AK155" s="28" t="str">
        <f>AK140</f>
        <v>change in distance between handles (cm / cm)</v>
      </c>
      <c r="AL155" s="27"/>
      <c r="AM155" s="28" t="str">
        <f>AG155</f>
        <v>span (cm)</v>
      </c>
      <c r="AN155" s="28" t="str">
        <f t="shared" ref="AN155:AQ155" si="342">AH155</f>
        <v>Change in catch angle (deg)</v>
      </c>
      <c r="AO155" s="28" t="str">
        <f t="shared" si="342"/>
        <v>Change in finish angle (deg)</v>
      </c>
      <c r="AP155" s="28" t="str">
        <f t="shared" si="342"/>
        <v>Change in sweep angle (deg)</v>
      </c>
      <c r="AQ155" s="28" t="str">
        <f t="shared" si="342"/>
        <v>change in distance between handles (cm / cm)</v>
      </c>
    </row>
    <row r="156" spans="1:43">
      <c r="A156" s="59"/>
      <c r="B156" s="20">
        <f>B141</f>
        <v>183</v>
      </c>
      <c r="C156" s="18">
        <f t="shared" ref="C156:C160" si="343">100*(0.297865*B156/100+1.08387)</f>
        <v>162.89629500000001</v>
      </c>
      <c r="D156" s="63">
        <f>D141</f>
        <v>23.401977414937022</v>
      </c>
      <c r="E156" s="63">
        <f t="shared" ref="E156:F156" si="344">E141</f>
        <v>90.5</v>
      </c>
      <c r="F156" s="63">
        <f t="shared" si="344"/>
        <v>165</v>
      </c>
      <c r="G156" s="20">
        <f t="shared" ref="G156:G160" si="345">(E156+2)*2 -F156</f>
        <v>20</v>
      </c>
      <c r="H156" s="61">
        <f>DEGREES(ACOS((F156-D156)/2/(E156+2)))</f>
        <v>40.057879451681572</v>
      </c>
      <c r="I156" s="69">
        <f t="shared" ref="I156:I160" si="346">H156-H$161</f>
        <v>-1.3517426575892841</v>
      </c>
      <c r="J156" s="61"/>
      <c r="K156" s="63"/>
      <c r="L156" s="62">
        <f t="shared" ref="L156:L166" si="347">((F156-D156)/2)*TAN(RADIANS(H156))</f>
        <v>59.529404498953262</v>
      </c>
      <c r="M156" s="83">
        <f t="shared" ref="M156:M160" si="348">L156-L$161</f>
        <v>0</v>
      </c>
      <c r="N156" s="63"/>
      <c r="O156" s="63"/>
      <c r="P156" s="23">
        <f>P$131</f>
        <v>1</v>
      </c>
      <c r="Q156" s="20">
        <f t="shared" ref="Q156:Q166" si="349">B156 *P156</f>
        <v>183</v>
      </c>
      <c r="R156" s="23">
        <f>R$131</f>
        <v>0.3</v>
      </c>
      <c r="S156" s="61">
        <f>Q156*R156</f>
        <v>54.9</v>
      </c>
      <c r="T156" s="61">
        <f>S156/2</f>
        <v>27.45</v>
      </c>
      <c r="U156" s="49">
        <f t="shared" ref="U156:U166" si="350">F156/2 -S156/2</f>
        <v>55.05</v>
      </c>
      <c r="V156" s="61"/>
      <c r="W156" s="61">
        <f t="shared" ref="W156:W160" si="351">COS(RADIANS(17))*((Q156-S156)/2 -8)</f>
        <v>53.600881571728131</v>
      </c>
      <c r="X156" s="61">
        <f t="shared" ref="X156:X159" si="352">X$161- M156</f>
        <v>35.235017937930365</v>
      </c>
      <c r="Y156" s="61">
        <f>SQRT(X156*X156+U156*U156)</f>
        <v>65.36060731882985</v>
      </c>
      <c r="Z156" s="69">
        <f>DEGREES(ASIN(X156/Y156))</f>
        <v>32.621471346827668</v>
      </c>
      <c r="AA156" s="69">
        <f t="shared" ref="AA156:AA166" si="353">DEGREES(ACOS(((E156+2)*(E156+2)+(Y156*Y156)-(W156*W156))/(2*(E156+2)*(Y156))))</f>
        <v>34.582670394759333</v>
      </c>
      <c r="AB156" s="4">
        <f t="shared" ref="AB156:AB166" si="354">Z156+AA156</f>
        <v>67.204141741586994</v>
      </c>
      <c r="AC156" s="70">
        <f t="shared" ref="AC156:AC160" si="355">AB156-AB$161</f>
        <v>-2.4965956945947028</v>
      </c>
      <c r="AD156" s="69">
        <f>AB156+H156</f>
        <v>107.26202119326857</v>
      </c>
      <c r="AE156" s="71">
        <f t="shared" ref="AE156:AE160" si="356">H156+AB156-J$161</f>
        <v>-3.8483383521840011</v>
      </c>
      <c r="AF156" s="59"/>
      <c r="AG156" s="128">
        <f t="shared" si="341"/>
        <v>165</v>
      </c>
      <c r="AH156" s="128">
        <f t="shared" ref="AH156:AH166" si="357">AC156</f>
        <v>-2.4965956945947028</v>
      </c>
      <c r="AI156" s="128">
        <f t="shared" ref="AI156:AI166" si="358">I156</f>
        <v>-1.3517426575892841</v>
      </c>
      <c r="AJ156" s="128">
        <f t="shared" ref="AJ156:AJ166" si="359">AE156</f>
        <v>-3.8483383521840011</v>
      </c>
      <c r="AK156" s="128">
        <f>AK141</f>
        <v>-1.5980225850629779</v>
      </c>
      <c r="AL156" s="59"/>
      <c r="AM156" s="134">
        <f t="shared" ref="AM156:AM160" si="360">AG156/AG$161-1</f>
        <v>3.125E-2</v>
      </c>
      <c r="AN156" s="135">
        <f t="shared" ref="AN156:AN160" si="361">AB156/AB$161-1</f>
        <v>-3.5818784512582802E-2</v>
      </c>
      <c r="AO156" s="135">
        <f t="shared" ref="AO156:AO160" si="362">H156/H$161-1</f>
        <v>-3.2643201959736134E-2</v>
      </c>
      <c r="AP156" s="134">
        <f t="shared" ref="AP156:AP160" si="363">AD156/AD$161-1</f>
        <v>-3.4635279445835332E-2</v>
      </c>
      <c r="AQ156" s="134">
        <f t="shared" ref="AQ156:AQ160" si="364">(Q156+60)/(Q$161+60) -1</f>
        <v>0</v>
      </c>
    </row>
    <row r="157" spans="1:43">
      <c r="A157" s="59"/>
      <c r="B157" s="20">
        <f t="shared" ref="B157:B166" si="365">B142</f>
        <v>183</v>
      </c>
      <c r="C157" s="18">
        <f t="shared" si="343"/>
        <v>162.89629500000001</v>
      </c>
      <c r="D157" s="63">
        <f t="shared" ref="D157:F166" si="366">D142</f>
        <v>23.711012549095642</v>
      </c>
      <c r="E157" s="63">
        <f t="shared" si="366"/>
        <v>90</v>
      </c>
      <c r="F157" s="63">
        <f t="shared" si="366"/>
        <v>164</v>
      </c>
      <c r="G157" s="20">
        <f t="shared" si="345"/>
        <v>20</v>
      </c>
      <c r="H157" s="61">
        <f>DEGREES(ACOS((F157-D157)/2/(E157+2)))</f>
        <v>40.320209135121651</v>
      </c>
      <c r="I157" s="69">
        <f t="shared" si="346"/>
        <v>-1.0894129741492051</v>
      </c>
      <c r="J157" s="61"/>
      <c r="K157" s="63"/>
      <c r="L157" s="62">
        <f t="shared" si="347"/>
        <v>59.529404498953269</v>
      </c>
      <c r="M157" s="83">
        <f t="shared" si="348"/>
        <v>0</v>
      </c>
      <c r="N157" s="63"/>
      <c r="O157" s="63"/>
      <c r="P157" s="23">
        <f t="shared" ref="P157:P160" si="367">P$131</f>
        <v>1</v>
      </c>
      <c r="Q157" s="20">
        <f t="shared" si="349"/>
        <v>183</v>
      </c>
      <c r="R157" s="23">
        <f t="shared" ref="R157:R160" si="368">R$131</f>
        <v>0.3</v>
      </c>
      <c r="S157" s="61">
        <f t="shared" ref="S157:S160" si="369">Q157*R157</f>
        <v>54.9</v>
      </c>
      <c r="T157" s="61">
        <f t="shared" ref="T157:T160" si="370">S157/2</f>
        <v>27.45</v>
      </c>
      <c r="U157" s="49">
        <f t="shared" si="350"/>
        <v>54.55</v>
      </c>
      <c r="V157" s="61"/>
      <c r="W157" s="61">
        <f t="shared" si="351"/>
        <v>53.600881571728131</v>
      </c>
      <c r="X157" s="61">
        <f t="shared" si="352"/>
        <v>35.235017937930365</v>
      </c>
      <c r="Y157" s="61">
        <f>SQRT(X157*X157+U157*U157)</f>
        <v>64.940041492797604</v>
      </c>
      <c r="Z157" s="69">
        <f>DEGREES(ASIN(X157/Y157))</f>
        <v>32.85928661844941</v>
      </c>
      <c r="AA157" s="69">
        <f t="shared" si="353"/>
        <v>34.831333563802218</v>
      </c>
      <c r="AB157" s="4">
        <f t="shared" si="354"/>
        <v>67.690620182251621</v>
      </c>
      <c r="AC157" s="70">
        <f t="shared" si="355"/>
        <v>-2.0101172539300762</v>
      </c>
      <c r="AD157" s="69">
        <f t="shared" ref="AD157:AD166" si="371">AB157+H157</f>
        <v>108.01082931737326</v>
      </c>
      <c r="AE157" s="71">
        <f t="shared" si="356"/>
        <v>-3.0995302280793027</v>
      </c>
      <c r="AF157" s="59"/>
      <c r="AG157" s="128">
        <f t="shared" si="341"/>
        <v>164</v>
      </c>
      <c r="AH157" s="128">
        <f t="shared" si="357"/>
        <v>-2.0101172539300762</v>
      </c>
      <c r="AI157" s="128">
        <f t="shared" si="358"/>
        <v>-1.0894129741492051</v>
      </c>
      <c r="AJ157" s="128">
        <f t="shared" si="359"/>
        <v>-3.0995302280793027</v>
      </c>
      <c r="AK157" s="128">
        <f t="shared" ref="AK157:AK166" si="372">AK142</f>
        <v>-1.288987450904358</v>
      </c>
      <c r="AL157" s="59"/>
      <c r="AM157" s="134">
        <f t="shared" si="360"/>
        <v>2.4999999999999911E-2</v>
      </c>
      <c r="AN157" s="135">
        <f t="shared" si="361"/>
        <v>-2.8839253756397509E-2</v>
      </c>
      <c r="AO157" s="135">
        <f t="shared" si="362"/>
        <v>-2.6308208543282197E-2</v>
      </c>
      <c r="AP157" s="134">
        <f t="shared" si="363"/>
        <v>-2.7895960743528514E-2</v>
      </c>
      <c r="AQ157" s="134">
        <f t="shared" si="364"/>
        <v>0</v>
      </c>
    </row>
    <row r="158" spans="1:43">
      <c r="A158" s="59"/>
      <c r="B158" s="20">
        <f t="shared" si="365"/>
        <v>183</v>
      </c>
      <c r="C158" s="18">
        <f t="shared" si="343"/>
        <v>162.89629500000001</v>
      </c>
      <c r="D158" s="63">
        <f t="shared" si="366"/>
        <v>24.025182137194349</v>
      </c>
      <c r="E158" s="63">
        <f t="shared" si="366"/>
        <v>89.5</v>
      </c>
      <c r="F158" s="63">
        <f t="shared" si="366"/>
        <v>163</v>
      </c>
      <c r="G158" s="20">
        <f t="shared" si="345"/>
        <v>20</v>
      </c>
      <c r="H158" s="61">
        <f>DEGREES(ACOS((F158-D158)/2/(E158+2)))</f>
        <v>40.586446023621598</v>
      </c>
      <c r="I158" s="69">
        <f t="shared" si="346"/>
        <v>-0.82317608564925848</v>
      </c>
      <c r="J158" s="61"/>
      <c r="K158" s="63"/>
      <c r="L158" s="62">
        <f t="shared" si="347"/>
        <v>59.529404498953269</v>
      </c>
      <c r="M158" s="83">
        <f t="shared" si="348"/>
        <v>0</v>
      </c>
      <c r="N158" s="63"/>
      <c r="O158" s="63"/>
      <c r="P158" s="23">
        <f t="shared" si="367"/>
        <v>1</v>
      </c>
      <c r="Q158" s="20">
        <f t="shared" si="349"/>
        <v>183</v>
      </c>
      <c r="R158" s="23">
        <f t="shared" si="368"/>
        <v>0.3</v>
      </c>
      <c r="S158" s="61">
        <f t="shared" si="369"/>
        <v>54.9</v>
      </c>
      <c r="T158" s="61">
        <f t="shared" si="370"/>
        <v>27.45</v>
      </c>
      <c r="U158" s="49">
        <f t="shared" si="350"/>
        <v>54.05</v>
      </c>
      <c r="V158" s="61"/>
      <c r="W158" s="61">
        <f t="shared" si="351"/>
        <v>53.600881571728131</v>
      </c>
      <c r="X158" s="61">
        <f t="shared" si="352"/>
        <v>35.235017937930365</v>
      </c>
      <c r="Y158" s="61">
        <f t="shared" ref="Y158:Y160" si="373">SQRT(X158*X158+U158*U158)</f>
        <v>64.520609026002489</v>
      </c>
      <c r="Z158" s="69">
        <f t="shared" ref="Z158:Z160" si="374">DEGREES(ASIN(X158/Y158))</f>
        <v>33.10019804174847</v>
      </c>
      <c r="AA158" s="69">
        <f t="shared" si="353"/>
        <v>35.083213616014241</v>
      </c>
      <c r="AB158" s="4">
        <f t="shared" si="354"/>
        <v>68.183411657762719</v>
      </c>
      <c r="AC158" s="70">
        <f t="shared" si="355"/>
        <v>-1.5173257784189786</v>
      </c>
      <c r="AD158" s="69">
        <f t="shared" si="371"/>
        <v>108.76985768138431</v>
      </c>
      <c r="AE158" s="71">
        <f t="shared" si="356"/>
        <v>-2.3405018640682584</v>
      </c>
      <c r="AF158" s="59"/>
      <c r="AG158" s="128">
        <f t="shared" si="341"/>
        <v>163</v>
      </c>
      <c r="AH158" s="128">
        <f t="shared" si="357"/>
        <v>-1.5173257784189786</v>
      </c>
      <c r="AI158" s="128">
        <f t="shared" si="358"/>
        <v>-0.82317608564925848</v>
      </c>
      <c r="AJ158" s="128">
        <f t="shared" si="359"/>
        <v>-2.3405018640682584</v>
      </c>
      <c r="AK158" s="128">
        <f t="shared" si="372"/>
        <v>-0.97481786280565075</v>
      </c>
      <c r="AL158" s="59"/>
      <c r="AM158" s="134">
        <f t="shared" si="360"/>
        <v>1.8750000000000044E-2</v>
      </c>
      <c r="AN158" s="135">
        <f t="shared" si="361"/>
        <v>-2.1769149570451063E-2</v>
      </c>
      <c r="AO158" s="135">
        <f t="shared" si="362"/>
        <v>-1.987886012282547E-2</v>
      </c>
      <c r="AP158" s="134">
        <f t="shared" si="363"/>
        <v>-2.1064659259884766E-2</v>
      </c>
      <c r="AQ158" s="134">
        <f t="shared" si="364"/>
        <v>0</v>
      </c>
    </row>
    <row r="159" spans="1:43">
      <c r="A159" s="59"/>
      <c r="B159" s="20">
        <f t="shared" si="365"/>
        <v>183</v>
      </c>
      <c r="C159" s="18">
        <f t="shared" si="343"/>
        <v>162.89629500000001</v>
      </c>
      <c r="D159" s="63">
        <f t="shared" si="366"/>
        <v>24.344633232118383</v>
      </c>
      <c r="E159" s="63">
        <f t="shared" si="366"/>
        <v>89</v>
      </c>
      <c r="F159" s="63">
        <f t="shared" si="366"/>
        <v>162</v>
      </c>
      <c r="G159" s="20">
        <f t="shared" si="345"/>
        <v>20</v>
      </c>
      <c r="H159" s="61">
        <f>DEGREES(ACOS((F159-D159)/2/(E159+2)))</f>
        <v>40.856690357247807</v>
      </c>
      <c r="I159" s="69">
        <f t="shared" si="346"/>
        <v>-0.55293175202304923</v>
      </c>
      <c r="J159" s="61"/>
      <c r="K159" s="63"/>
      <c r="L159" s="62">
        <f t="shared" si="347"/>
        <v>59.529404498953269</v>
      </c>
      <c r="M159" s="83">
        <f t="shared" si="348"/>
        <v>0</v>
      </c>
      <c r="N159" s="63"/>
      <c r="O159" s="63"/>
      <c r="P159" s="23">
        <f t="shared" si="367"/>
        <v>1</v>
      </c>
      <c r="Q159" s="20">
        <f t="shared" si="349"/>
        <v>183</v>
      </c>
      <c r="R159" s="23">
        <f t="shared" si="368"/>
        <v>0.3</v>
      </c>
      <c r="S159" s="61">
        <f t="shared" si="369"/>
        <v>54.9</v>
      </c>
      <c r="T159" s="61">
        <f t="shared" si="370"/>
        <v>27.45</v>
      </c>
      <c r="U159" s="49">
        <f t="shared" si="350"/>
        <v>53.55</v>
      </c>
      <c r="V159" s="61"/>
      <c r="W159" s="61">
        <f t="shared" si="351"/>
        <v>53.600881571728131</v>
      </c>
      <c r="X159" s="61">
        <f t="shared" si="352"/>
        <v>35.235017937930365</v>
      </c>
      <c r="Y159" s="61">
        <f t="shared" si="373"/>
        <v>64.10233216573539</v>
      </c>
      <c r="Z159" s="69">
        <f t="shared" si="374"/>
        <v>33.344257789799833</v>
      </c>
      <c r="AA159" s="69">
        <f t="shared" si="353"/>
        <v>35.338364752288541</v>
      </c>
      <c r="AB159" s="4">
        <f t="shared" si="354"/>
        <v>68.682622542088382</v>
      </c>
      <c r="AC159" s="70">
        <f t="shared" si="355"/>
        <v>-1.0181148940933156</v>
      </c>
      <c r="AD159" s="69">
        <f t="shared" si="371"/>
        <v>109.53931289933618</v>
      </c>
      <c r="AE159" s="71">
        <f t="shared" si="356"/>
        <v>-1.5710466461163861</v>
      </c>
      <c r="AF159" s="59"/>
      <c r="AG159" s="128">
        <f t="shared" si="341"/>
        <v>162</v>
      </c>
      <c r="AH159" s="128">
        <f t="shared" si="357"/>
        <v>-1.0181148940933156</v>
      </c>
      <c r="AI159" s="128">
        <f t="shared" si="358"/>
        <v>-0.55293175202304923</v>
      </c>
      <c r="AJ159" s="128">
        <f t="shared" si="359"/>
        <v>-1.5710466461163861</v>
      </c>
      <c r="AK159" s="128">
        <f t="shared" si="372"/>
        <v>-0.65536676788161685</v>
      </c>
      <c r="AL159" s="59"/>
      <c r="AM159" s="134">
        <f t="shared" si="360"/>
        <v>1.2499999999999956E-2</v>
      </c>
      <c r="AN159" s="135">
        <f t="shared" si="361"/>
        <v>-1.4606945802051352E-2</v>
      </c>
      <c r="AO159" s="135">
        <f t="shared" si="362"/>
        <v>-1.3352736003337196E-2</v>
      </c>
      <c r="AP159" s="134">
        <f t="shared" si="363"/>
        <v>-1.413951545601555E-2</v>
      </c>
      <c r="AQ159" s="134">
        <f t="shared" si="364"/>
        <v>0</v>
      </c>
    </row>
    <row r="160" spans="1:43">
      <c r="A160" s="59"/>
      <c r="B160" s="20">
        <f t="shared" si="365"/>
        <v>183</v>
      </c>
      <c r="C160" s="18">
        <f t="shared" si="343"/>
        <v>162.89629500000001</v>
      </c>
      <c r="D160" s="63">
        <f t="shared" si="366"/>
        <v>24.669519182245978</v>
      </c>
      <c r="E160" s="63">
        <f t="shared" si="366"/>
        <v>88.5</v>
      </c>
      <c r="F160" s="63">
        <f t="shared" si="366"/>
        <v>161</v>
      </c>
      <c r="G160" s="20">
        <f t="shared" si="345"/>
        <v>20</v>
      </c>
      <c r="H160" s="61">
        <f t="shared" ref="H160" si="375">DEGREES(ACOS((F160-D160)/2/(E160+2)))</f>
        <v>41.131046291041493</v>
      </c>
      <c r="I160" s="69">
        <f t="shared" si="346"/>
        <v>-0.27857581822936339</v>
      </c>
      <c r="J160" s="61"/>
      <c r="K160" s="63"/>
      <c r="L160" s="62">
        <f t="shared" si="347"/>
        <v>59.529404498953291</v>
      </c>
      <c r="M160" s="83">
        <f t="shared" si="348"/>
        <v>0</v>
      </c>
      <c r="N160" s="63"/>
      <c r="O160" s="63"/>
      <c r="P160" s="23">
        <f t="shared" si="367"/>
        <v>1</v>
      </c>
      <c r="Q160" s="20">
        <f t="shared" si="349"/>
        <v>183</v>
      </c>
      <c r="R160" s="23">
        <f t="shared" si="368"/>
        <v>0.3</v>
      </c>
      <c r="S160" s="61">
        <f t="shared" si="369"/>
        <v>54.9</v>
      </c>
      <c r="T160" s="61">
        <f t="shared" si="370"/>
        <v>27.45</v>
      </c>
      <c r="U160" s="49">
        <f t="shared" si="350"/>
        <v>53.05</v>
      </c>
      <c r="V160" s="61"/>
      <c r="W160" s="61">
        <f t="shared" si="351"/>
        <v>53.600881571728131</v>
      </c>
      <c r="X160" s="61">
        <f>X$161- M160</f>
        <v>35.235017937930365</v>
      </c>
      <c r="Y160" s="61">
        <f t="shared" si="373"/>
        <v>63.685233681649265</v>
      </c>
      <c r="Z160" s="69">
        <f t="shared" si="374"/>
        <v>33.591518951142454</v>
      </c>
      <c r="AA160" s="69">
        <f t="shared" si="353"/>
        <v>35.596842134674134</v>
      </c>
      <c r="AB160" s="4">
        <f t="shared" si="354"/>
        <v>69.188361085816581</v>
      </c>
      <c r="AC160" s="70">
        <f t="shared" si="355"/>
        <v>-0.5123763503651162</v>
      </c>
      <c r="AD160" s="69">
        <f t="shared" si="371"/>
        <v>110.31940737685807</v>
      </c>
      <c r="AE160" s="71">
        <f t="shared" si="356"/>
        <v>-0.7909521685945009</v>
      </c>
      <c r="AF160" s="59"/>
      <c r="AG160" s="128">
        <f t="shared" si="341"/>
        <v>161</v>
      </c>
      <c r="AH160" s="128">
        <f t="shared" si="357"/>
        <v>-0.5123763503651162</v>
      </c>
      <c r="AI160" s="128">
        <f t="shared" si="358"/>
        <v>-0.27857581822936339</v>
      </c>
      <c r="AJ160" s="128">
        <f t="shared" si="359"/>
        <v>-0.7909521685945009</v>
      </c>
      <c r="AK160" s="128">
        <f t="shared" si="372"/>
        <v>-0.33048081775402238</v>
      </c>
      <c r="AL160" s="59"/>
      <c r="AM160" s="134">
        <f t="shared" si="360"/>
        <v>6.2500000000000888E-3</v>
      </c>
      <c r="AN160" s="135">
        <f t="shared" si="361"/>
        <v>-7.3510893745457606E-3</v>
      </c>
      <c r="AO160" s="135">
        <f t="shared" si="362"/>
        <v>-6.7273209471524487E-3</v>
      </c>
      <c r="AP160" s="134">
        <f t="shared" si="363"/>
        <v>-7.1186176683275537E-3</v>
      </c>
      <c r="AQ160" s="134">
        <f t="shared" si="364"/>
        <v>0</v>
      </c>
    </row>
    <row r="161" spans="1:43">
      <c r="A161" s="15"/>
      <c r="B161" s="38">
        <f t="shared" si="365"/>
        <v>183</v>
      </c>
      <c r="C161" s="37">
        <f>100*(0.297865*B161/100+1.08387)</f>
        <v>162.89629500000001</v>
      </c>
      <c r="D161" s="40">
        <f t="shared" si="366"/>
        <v>25</v>
      </c>
      <c r="E161" s="40">
        <f t="shared" si="366"/>
        <v>88</v>
      </c>
      <c r="F161" s="40">
        <f t="shared" si="366"/>
        <v>160</v>
      </c>
      <c r="G161" s="38">
        <f>(E161+2)*2 -F161</f>
        <v>20</v>
      </c>
      <c r="H161" s="39">
        <f>DEGREES(ACOS((F161-D161)/2/(E161+2)))</f>
        <v>41.409622109270856</v>
      </c>
      <c r="I161" s="70">
        <f>H161-H$161</f>
        <v>0</v>
      </c>
      <c r="J161" s="52">
        <f>DEGREES(C161/(E161-6+2))</f>
        <v>111.11035954545257</v>
      </c>
      <c r="K161" s="39">
        <f>J161-H161</f>
        <v>69.700737436181711</v>
      </c>
      <c r="L161" s="41">
        <f t="shared" si="347"/>
        <v>59.529404498953284</v>
      </c>
      <c r="M161" s="41">
        <f>L161-L$161</f>
        <v>0</v>
      </c>
      <c r="N161" s="39">
        <f>(E161+2)*SIN(RADIANS(K161))</f>
        <v>84.410405985170328</v>
      </c>
      <c r="O161" s="39">
        <f>(F161/2)- (E161+2)*COS(RADIANS(K161))</f>
        <v>48.776877775937891</v>
      </c>
      <c r="P161" s="42">
        <v>1</v>
      </c>
      <c r="Q161" s="43">
        <f t="shared" si="349"/>
        <v>183</v>
      </c>
      <c r="R161" s="42">
        <v>0.3</v>
      </c>
      <c r="S161" s="39">
        <f>Q161*R161</f>
        <v>54.9</v>
      </c>
      <c r="T161" s="39">
        <f>S161/2</f>
        <v>27.45</v>
      </c>
      <c r="U161" s="39">
        <f>F161/2 -S161/2</f>
        <v>52.55</v>
      </c>
      <c r="V161" s="39">
        <f>O161-T161</f>
        <v>21.326877775937891</v>
      </c>
      <c r="W161" s="39">
        <f>COS(RADIANS(17))*((Q161-S161)/2-8)</f>
        <v>53.600881571728131</v>
      </c>
      <c r="X161" s="40">
        <f xml:space="preserve"> N161- SQRT(W161*W161-V161*V161)</f>
        <v>35.235017937930365</v>
      </c>
      <c r="Y161" s="39">
        <f>SQRT(X161*X161+U161*U161)</f>
        <v>63.269336878825229</v>
      </c>
      <c r="Z161" s="70">
        <f>DEGREES(ASIN(X161/Y161))</f>
        <v>33.84203553914503</v>
      </c>
      <c r="AA161" s="70">
        <f t="shared" si="353"/>
        <v>35.858701897036667</v>
      </c>
      <c r="AB161" s="52">
        <f t="shared" si="354"/>
        <v>69.700737436181697</v>
      </c>
      <c r="AC161" s="70">
        <f>AB161-AB$161</f>
        <v>0</v>
      </c>
      <c r="AD161" s="70">
        <f t="shared" si="371"/>
        <v>111.11035954545255</v>
      </c>
      <c r="AE161" s="71">
        <f>H161+AB161-J$161</f>
        <v>0</v>
      </c>
      <c r="AF161" s="15"/>
      <c r="AG161" s="148">
        <f t="shared" si="341"/>
        <v>160</v>
      </c>
      <c r="AH161" s="148">
        <f t="shared" si="357"/>
        <v>0</v>
      </c>
      <c r="AI161" s="148">
        <f t="shared" si="358"/>
        <v>0</v>
      </c>
      <c r="AJ161" s="148">
        <f t="shared" si="359"/>
        <v>0</v>
      </c>
      <c r="AK161" s="148">
        <f t="shared" si="372"/>
        <v>0</v>
      </c>
      <c r="AL161" s="15"/>
      <c r="AM161" s="150">
        <f>AG161/AG$161-1</f>
        <v>0</v>
      </c>
      <c r="AN161" s="151">
        <f>AB161/AB$161-1</f>
        <v>0</v>
      </c>
      <c r="AO161" s="151">
        <f>H161/H$161-1</f>
        <v>0</v>
      </c>
      <c r="AP161" s="150">
        <f>AD161/AD$161-1</f>
        <v>0</v>
      </c>
      <c r="AQ161" s="150">
        <f>(Q161+60)/(Q$161+60) -1</f>
        <v>0</v>
      </c>
    </row>
    <row r="162" spans="1:43">
      <c r="A162" s="59"/>
      <c r="B162" s="20">
        <f t="shared" si="365"/>
        <v>183</v>
      </c>
      <c r="C162" s="18">
        <f t="shared" ref="C162:C166" si="376">100*(0.297865*B162/100+1.08387)</f>
        <v>162.89629500000001</v>
      </c>
      <c r="D162" s="63">
        <f t="shared" si="366"/>
        <v>25.336242758180703</v>
      </c>
      <c r="E162" s="63">
        <f t="shared" si="366"/>
        <v>87.5</v>
      </c>
      <c r="F162" s="63">
        <f t="shared" si="366"/>
        <v>159</v>
      </c>
      <c r="G162" s="20">
        <f t="shared" ref="G162:G166" si="377">(E162+2)*2 -F162</f>
        <v>20</v>
      </c>
      <c r="H162" s="61">
        <f>DEGREES(ACOS((F162-D162)/2/(E162+2)))</f>
        <v>41.692530455105114</v>
      </c>
      <c r="I162" s="69">
        <f t="shared" ref="I162:I166" si="378">H162-H$161</f>
        <v>0.28290834583425806</v>
      </c>
      <c r="J162" s="61"/>
      <c r="K162" s="63"/>
      <c r="L162" s="62">
        <f t="shared" si="347"/>
        <v>59.529404498953291</v>
      </c>
      <c r="M162" s="83">
        <f t="shared" ref="M162:M166" si="379">L162-L$161</f>
        <v>0</v>
      </c>
      <c r="N162" s="63"/>
      <c r="O162" s="63"/>
      <c r="P162" s="23">
        <f>P$131</f>
        <v>1</v>
      </c>
      <c r="Q162" s="20">
        <f t="shared" si="349"/>
        <v>183</v>
      </c>
      <c r="R162" s="23">
        <f>R$131</f>
        <v>0.3</v>
      </c>
      <c r="S162" s="61">
        <f>Q162*R162</f>
        <v>54.9</v>
      </c>
      <c r="T162" s="61">
        <f>S162/2</f>
        <v>27.45</v>
      </c>
      <c r="U162" s="49">
        <f t="shared" si="350"/>
        <v>52.05</v>
      </c>
      <c r="V162" s="39"/>
      <c r="W162" s="61">
        <f t="shared" ref="W162:W166" si="380">COS(RADIANS(17))*((Q162-S162)/2 -8)</f>
        <v>53.600881571728131</v>
      </c>
      <c r="X162" s="61">
        <f t="shared" ref="X162:X165" si="381">X$161- M162</f>
        <v>35.235017937930365</v>
      </c>
      <c r="Y162" s="61">
        <f>SQRT(X162*X162+U162*U162)</f>
        <v>62.854665611124481</v>
      </c>
      <c r="Z162" s="69">
        <f>DEGREES(ASIN(X162/Y162))</f>
        <v>34.095862500839644</v>
      </c>
      <c r="AA162" s="69">
        <f t="shared" si="353"/>
        <v>36.124001155231426</v>
      </c>
      <c r="AB162" s="4">
        <f t="shared" si="354"/>
        <v>70.21986365607107</v>
      </c>
      <c r="AC162" s="70">
        <f t="shared" ref="AC162:AC166" si="382">AB162-AB$161</f>
        <v>0.51912621988937246</v>
      </c>
      <c r="AD162" s="69">
        <f t="shared" si="371"/>
        <v>111.91239411117618</v>
      </c>
      <c r="AE162" s="71">
        <f t="shared" ref="AE162:AE166" si="383">H162+AB162-J$161</f>
        <v>0.80203456572361631</v>
      </c>
      <c r="AF162" s="59"/>
      <c r="AG162" s="128">
        <f t="shared" si="341"/>
        <v>159</v>
      </c>
      <c r="AH162" s="128">
        <f t="shared" si="357"/>
        <v>0.51912621988937246</v>
      </c>
      <c r="AI162" s="128">
        <f t="shared" si="358"/>
        <v>0.28290834583425806</v>
      </c>
      <c r="AJ162" s="128">
        <f t="shared" si="359"/>
        <v>0.80203456572361631</v>
      </c>
      <c r="AK162" s="128">
        <f t="shared" si="372"/>
        <v>0.33624275818070259</v>
      </c>
      <c r="AL162" s="59"/>
      <c r="AM162" s="134">
        <f t="shared" ref="AM162:AM166" si="384">AG162/AG$161-1</f>
        <v>-6.2499999999999778E-3</v>
      </c>
      <c r="AN162" s="135">
        <f t="shared" ref="AN162:AN166" si="385">AB162/AB$161-1</f>
        <v>7.447930093489763E-3</v>
      </c>
      <c r="AO162" s="135">
        <f t="shared" ref="AO162:AO166" si="386">H162/H$161-1</f>
        <v>6.8319470553903638E-3</v>
      </c>
      <c r="AP162" s="134">
        <f t="shared" ref="AP162:AP166" si="387">AD162/AD$161-1</f>
        <v>7.2183599171555812E-3</v>
      </c>
      <c r="AQ162" s="134">
        <f t="shared" ref="AQ162:AQ166" si="388">(Q162+60)/(Q$161+60) -1</f>
        <v>0</v>
      </c>
    </row>
    <row r="163" spans="1:43">
      <c r="A163" s="59"/>
      <c r="B163" s="20">
        <f t="shared" si="365"/>
        <v>183</v>
      </c>
      <c r="C163" s="18">
        <f t="shared" si="376"/>
        <v>162.89629500000001</v>
      </c>
      <c r="D163" s="63">
        <f t="shared" si="366"/>
        <v>25.678422016664257</v>
      </c>
      <c r="E163" s="63">
        <f t="shared" si="366"/>
        <v>87</v>
      </c>
      <c r="F163" s="63">
        <f t="shared" si="366"/>
        <v>158</v>
      </c>
      <c r="G163" s="20">
        <f t="shared" si="377"/>
        <v>20</v>
      </c>
      <c r="H163" s="61">
        <f>DEGREES(ACOS((F163-D163)/2/(E163+2)))</f>
        <v>41.97988857710142</v>
      </c>
      <c r="I163" s="69">
        <f t="shared" si="378"/>
        <v>0.57026646783056378</v>
      </c>
      <c r="J163" s="61"/>
      <c r="K163" s="63"/>
      <c r="L163" s="62">
        <f t="shared" si="347"/>
        <v>59.529404498953255</v>
      </c>
      <c r="M163" s="83">
        <f t="shared" si="379"/>
        <v>0</v>
      </c>
      <c r="N163" s="63"/>
      <c r="O163" s="63"/>
      <c r="P163" s="23">
        <f t="shared" ref="P163:R166" si="389">P$131</f>
        <v>1</v>
      </c>
      <c r="Q163" s="20">
        <f t="shared" si="349"/>
        <v>183</v>
      </c>
      <c r="R163" s="23">
        <f t="shared" si="389"/>
        <v>0.3</v>
      </c>
      <c r="S163" s="61">
        <f t="shared" ref="S163:S166" si="390">Q163*R163</f>
        <v>54.9</v>
      </c>
      <c r="T163" s="61">
        <f t="shared" ref="T163:T166" si="391">S163/2</f>
        <v>27.45</v>
      </c>
      <c r="U163" s="49">
        <f t="shared" si="350"/>
        <v>51.55</v>
      </c>
      <c r="V163" s="39"/>
      <c r="W163" s="61">
        <f t="shared" si="380"/>
        <v>53.600881571728131</v>
      </c>
      <c r="X163" s="61">
        <f t="shared" si="381"/>
        <v>35.235017937930365</v>
      </c>
      <c r="Y163" s="61">
        <f>SQRT(X163*X163+U163*U163)</f>
        <v>62.441244294827072</v>
      </c>
      <c r="Z163" s="69">
        <f>DEGREES(ASIN(X163/Y163))</f>
        <v>34.353055725162939</v>
      </c>
      <c r="AA163" s="69">
        <f t="shared" si="353"/>
        <v>36.392798016729493</v>
      </c>
      <c r="AB163" s="4">
        <f t="shared" si="354"/>
        <v>70.745853741892432</v>
      </c>
      <c r="AC163" s="70">
        <f t="shared" si="382"/>
        <v>1.0451163057107351</v>
      </c>
      <c r="AD163" s="69">
        <f t="shared" si="371"/>
        <v>112.72574231899385</v>
      </c>
      <c r="AE163" s="71">
        <f t="shared" si="383"/>
        <v>1.6153827735412847</v>
      </c>
      <c r="AF163" s="59"/>
      <c r="AG163" s="128">
        <f t="shared" si="341"/>
        <v>158</v>
      </c>
      <c r="AH163" s="128">
        <f t="shared" si="357"/>
        <v>1.0451163057107351</v>
      </c>
      <c r="AI163" s="128">
        <f t="shared" si="358"/>
        <v>0.57026646783056378</v>
      </c>
      <c r="AJ163" s="128">
        <f t="shared" si="359"/>
        <v>1.6153827735412847</v>
      </c>
      <c r="AK163" s="128">
        <f t="shared" si="372"/>
        <v>0.67842201666425694</v>
      </c>
      <c r="AL163" s="59"/>
      <c r="AM163" s="134">
        <f t="shared" si="384"/>
        <v>-1.2499999999999956E-2</v>
      </c>
      <c r="AN163" s="135">
        <f t="shared" si="385"/>
        <v>1.4994336418142629E-2</v>
      </c>
      <c r="AO163" s="135">
        <f t="shared" si="386"/>
        <v>1.3771351651694852E-2</v>
      </c>
      <c r="AP163" s="134">
        <f t="shared" si="387"/>
        <v>1.4538543301900519E-2</v>
      </c>
      <c r="AQ163" s="134">
        <f t="shared" si="388"/>
        <v>0</v>
      </c>
    </row>
    <row r="164" spans="1:43">
      <c r="A164" s="59"/>
      <c r="B164" s="20">
        <f t="shared" si="365"/>
        <v>183</v>
      </c>
      <c r="C164" s="18">
        <f t="shared" si="376"/>
        <v>162.89629500000001</v>
      </c>
      <c r="D164" s="63">
        <f t="shared" si="366"/>
        <v>26.026720282341529</v>
      </c>
      <c r="E164" s="63">
        <f t="shared" si="366"/>
        <v>86.5</v>
      </c>
      <c r="F164" s="63">
        <f t="shared" si="366"/>
        <v>157</v>
      </c>
      <c r="G164" s="20">
        <f t="shared" si="377"/>
        <v>20</v>
      </c>
      <c r="H164" s="61">
        <f>DEGREES(ACOS((F164-D164)/2/(E164+2)))</f>
        <v>42.271818594048668</v>
      </c>
      <c r="I164" s="69">
        <f t="shared" si="378"/>
        <v>0.86219648477781163</v>
      </c>
      <c r="J164" s="61"/>
      <c r="K164" s="63"/>
      <c r="L164" s="62">
        <f t="shared" si="347"/>
        <v>59.529404498953276</v>
      </c>
      <c r="M164" s="83">
        <f t="shared" si="379"/>
        <v>0</v>
      </c>
      <c r="N164" s="63"/>
      <c r="O164" s="63"/>
      <c r="P164" s="23">
        <f t="shared" si="389"/>
        <v>1</v>
      </c>
      <c r="Q164" s="20">
        <f t="shared" si="349"/>
        <v>183</v>
      </c>
      <c r="R164" s="23">
        <f t="shared" si="389"/>
        <v>0.3</v>
      </c>
      <c r="S164" s="61">
        <f t="shared" si="390"/>
        <v>54.9</v>
      </c>
      <c r="T164" s="61">
        <f t="shared" si="391"/>
        <v>27.45</v>
      </c>
      <c r="U164" s="49">
        <f t="shared" si="350"/>
        <v>51.05</v>
      </c>
      <c r="V164" s="39"/>
      <c r="W164" s="61">
        <f t="shared" si="380"/>
        <v>53.600881571728131</v>
      </c>
      <c r="X164" s="61">
        <f t="shared" si="381"/>
        <v>35.235017937930365</v>
      </c>
      <c r="Y164" s="61">
        <f t="shared" ref="Y164:Y166" si="392">SQRT(X164*X164+U164*U164)</f>
        <v>62.029097922557881</v>
      </c>
      <c r="Z164" s="69">
        <f t="shared" ref="Z164:Z166" si="393">DEGREES(ASIN(X164/Y164))</f>
        <v>34.613672050540245</v>
      </c>
      <c r="AA164" s="69">
        <f t="shared" si="353"/>
        <v>36.665151589635578</v>
      </c>
      <c r="AB164" s="4">
        <f t="shared" si="354"/>
        <v>71.27882364017583</v>
      </c>
      <c r="AC164" s="70">
        <f t="shared" si="382"/>
        <v>1.5780862039941326</v>
      </c>
      <c r="AD164" s="69">
        <f t="shared" si="371"/>
        <v>113.5506422342245</v>
      </c>
      <c r="AE164" s="71">
        <f t="shared" si="383"/>
        <v>2.44028268877193</v>
      </c>
      <c r="AF164" s="59"/>
      <c r="AG164" s="128">
        <f t="shared" si="341"/>
        <v>157</v>
      </c>
      <c r="AH164" s="128">
        <f t="shared" si="357"/>
        <v>1.5780862039941326</v>
      </c>
      <c r="AI164" s="128">
        <f t="shared" si="358"/>
        <v>0.86219648477781163</v>
      </c>
      <c r="AJ164" s="128">
        <f t="shared" si="359"/>
        <v>2.44028268877193</v>
      </c>
      <c r="AK164" s="128">
        <f t="shared" si="372"/>
        <v>1.0267202823415289</v>
      </c>
      <c r="AL164" s="59"/>
      <c r="AM164" s="134">
        <f t="shared" si="384"/>
        <v>-1.8750000000000044E-2</v>
      </c>
      <c r="AN164" s="135">
        <f t="shared" si="385"/>
        <v>2.2640882464680212E-2</v>
      </c>
      <c r="AO164" s="135">
        <f t="shared" si="386"/>
        <v>2.0821162832702633E-2</v>
      </c>
      <c r="AP164" s="134">
        <f t="shared" si="387"/>
        <v>2.1962692756598345E-2</v>
      </c>
      <c r="AQ164" s="134">
        <f t="shared" si="388"/>
        <v>0</v>
      </c>
    </row>
    <row r="165" spans="1:43">
      <c r="A165" s="59"/>
      <c r="B165" s="20">
        <f t="shared" si="365"/>
        <v>183</v>
      </c>
      <c r="C165" s="18">
        <f t="shared" si="376"/>
        <v>162.89629500000001</v>
      </c>
      <c r="D165" s="63">
        <f t="shared" si="366"/>
        <v>26.381328505496555</v>
      </c>
      <c r="E165" s="63">
        <f t="shared" si="366"/>
        <v>86</v>
      </c>
      <c r="F165" s="63">
        <f t="shared" si="366"/>
        <v>156</v>
      </c>
      <c r="G165" s="20">
        <f t="shared" si="377"/>
        <v>20</v>
      </c>
      <c r="H165" s="61">
        <f>DEGREES(ACOS((F165-D165)/2/(E165+2)))</f>
        <v>42.568447779882817</v>
      </c>
      <c r="I165" s="69">
        <f t="shared" si="378"/>
        <v>1.1588256706119608</v>
      </c>
      <c r="J165" s="61"/>
      <c r="K165" s="63"/>
      <c r="L165" s="62">
        <f t="shared" si="347"/>
        <v>59.529404498953291</v>
      </c>
      <c r="M165" s="83">
        <f t="shared" si="379"/>
        <v>0</v>
      </c>
      <c r="N165" s="63"/>
      <c r="O165" s="63"/>
      <c r="P165" s="23">
        <f t="shared" si="389"/>
        <v>1</v>
      </c>
      <c r="Q165" s="20">
        <f t="shared" si="349"/>
        <v>183</v>
      </c>
      <c r="R165" s="23">
        <f t="shared" si="389"/>
        <v>0.3</v>
      </c>
      <c r="S165" s="61">
        <f t="shared" si="390"/>
        <v>54.9</v>
      </c>
      <c r="T165" s="61">
        <f t="shared" si="391"/>
        <v>27.45</v>
      </c>
      <c r="U165" s="49">
        <f t="shared" si="350"/>
        <v>50.55</v>
      </c>
      <c r="V165" s="39"/>
      <c r="W165" s="61">
        <f t="shared" si="380"/>
        <v>53.600881571728131</v>
      </c>
      <c r="X165" s="61">
        <f t="shared" si="381"/>
        <v>35.235017937930365</v>
      </c>
      <c r="Y165" s="61">
        <f t="shared" si="392"/>
        <v>61.618252077499527</v>
      </c>
      <c r="Z165" s="69">
        <f t="shared" si="393"/>
        <v>34.877769271744143</v>
      </c>
      <c r="AA165" s="69">
        <f t="shared" si="353"/>
        <v>36.941121991029547</v>
      </c>
      <c r="AB165" s="4">
        <f t="shared" si="354"/>
        <v>71.81889126277369</v>
      </c>
      <c r="AC165" s="70">
        <f t="shared" si="382"/>
        <v>2.1181538265919926</v>
      </c>
      <c r="AD165" s="69">
        <f t="shared" si="371"/>
        <v>114.38733904265651</v>
      </c>
      <c r="AE165" s="71">
        <f t="shared" si="383"/>
        <v>3.2769794972039392</v>
      </c>
      <c r="AF165" s="59"/>
      <c r="AG165" s="128">
        <f t="shared" si="341"/>
        <v>156</v>
      </c>
      <c r="AH165" s="128">
        <f t="shared" si="357"/>
        <v>2.1181538265919926</v>
      </c>
      <c r="AI165" s="128">
        <f t="shared" si="358"/>
        <v>1.1588256706119608</v>
      </c>
      <c r="AJ165" s="128">
        <f t="shared" si="359"/>
        <v>3.2769794972039392</v>
      </c>
      <c r="AK165" s="128">
        <f t="shared" si="372"/>
        <v>1.3813285054965547</v>
      </c>
      <c r="AL165" s="59"/>
      <c r="AM165" s="134">
        <f t="shared" si="384"/>
        <v>-2.5000000000000022E-2</v>
      </c>
      <c r="AN165" s="135">
        <f t="shared" si="385"/>
        <v>3.0389259920404532E-2</v>
      </c>
      <c r="AO165" s="135">
        <f t="shared" si="386"/>
        <v>2.7984454133729519E-2</v>
      </c>
      <c r="AP165" s="134">
        <f t="shared" si="387"/>
        <v>2.9493014968270614E-2</v>
      </c>
      <c r="AQ165" s="134">
        <f t="shared" si="388"/>
        <v>0</v>
      </c>
    </row>
    <row r="166" spans="1:43">
      <c r="A166" s="59"/>
      <c r="B166" s="20">
        <f t="shared" si="365"/>
        <v>183</v>
      </c>
      <c r="C166" s="18">
        <f t="shared" si="376"/>
        <v>162.89629500000001</v>
      </c>
      <c r="D166" s="63">
        <f t="shared" si="366"/>
        <v>26.742446616193376</v>
      </c>
      <c r="E166" s="63">
        <f t="shared" si="366"/>
        <v>85.5</v>
      </c>
      <c r="F166" s="63">
        <f t="shared" si="366"/>
        <v>155</v>
      </c>
      <c r="G166" s="20">
        <f t="shared" si="377"/>
        <v>20</v>
      </c>
      <c r="H166" s="61">
        <f t="shared" ref="H166" si="394">DEGREES(ACOS((F166-D166)/2/(E166+2)))</f>
        <v>42.869908870582812</v>
      </c>
      <c r="I166" s="69">
        <f t="shared" si="378"/>
        <v>1.4602867613119557</v>
      </c>
      <c r="J166" s="61"/>
      <c r="K166" s="63"/>
      <c r="L166" s="62">
        <f t="shared" si="347"/>
        <v>59.529404498953276</v>
      </c>
      <c r="M166" s="83">
        <f t="shared" si="379"/>
        <v>0</v>
      </c>
      <c r="N166" s="63"/>
      <c r="O166" s="63"/>
      <c r="P166" s="23">
        <f t="shared" si="389"/>
        <v>1</v>
      </c>
      <c r="Q166" s="20">
        <f t="shared" si="349"/>
        <v>183</v>
      </c>
      <c r="R166" s="23">
        <f t="shared" si="389"/>
        <v>0.3</v>
      </c>
      <c r="S166" s="61">
        <f t="shared" si="390"/>
        <v>54.9</v>
      </c>
      <c r="T166" s="61">
        <f t="shared" si="391"/>
        <v>27.45</v>
      </c>
      <c r="U166" s="49">
        <f t="shared" si="350"/>
        <v>50.05</v>
      </c>
      <c r="V166" s="39"/>
      <c r="W166" s="61">
        <f t="shared" si="380"/>
        <v>53.600881571728131</v>
      </c>
      <c r="X166" s="61">
        <f>X$161- M166</f>
        <v>35.235017937930365</v>
      </c>
      <c r="Y166" s="61">
        <f t="shared" si="392"/>
        <v>61.208732947891299</v>
      </c>
      <c r="Z166" s="69">
        <f t="shared" si="393"/>
        <v>35.145406145953828</v>
      </c>
      <c r="AA166" s="69">
        <f t="shared" si="353"/>
        <v>37.220770354560997</v>
      </c>
      <c r="AB166" s="4">
        <f t="shared" si="354"/>
        <v>72.366176500514825</v>
      </c>
      <c r="AC166" s="70">
        <f t="shared" si="382"/>
        <v>2.6654390643331283</v>
      </c>
      <c r="AD166" s="69">
        <f t="shared" si="371"/>
        <v>115.23608537109763</v>
      </c>
      <c r="AE166" s="71">
        <f t="shared" si="383"/>
        <v>4.1257258256450626</v>
      </c>
      <c r="AF166" s="59"/>
      <c r="AG166" s="128">
        <f t="shared" si="341"/>
        <v>155</v>
      </c>
      <c r="AH166" s="128">
        <f t="shared" si="357"/>
        <v>2.6654390643331283</v>
      </c>
      <c r="AI166" s="128">
        <f t="shared" si="358"/>
        <v>1.4602867613119557</v>
      </c>
      <c r="AJ166" s="128">
        <f t="shared" si="359"/>
        <v>4.1257258256450626</v>
      </c>
      <c r="AK166" s="128">
        <f t="shared" si="372"/>
        <v>1.7424466161933765</v>
      </c>
      <c r="AL166" s="59"/>
      <c r="AM166" s="134">
        <f t="shared" si="384"/>
        <v>-3.125E-2</v>
      </c>
      <c r="AN166" s="135">
        <f t="shared" si="385"/>
        <v>3.8241188865090869E-2</v>
      </c>
      <c r="AO166" s="135">
        <f t="shared" si="386"/>
        <v>3.5264430992839824E-2</v>
      </c>
      <c r="AP166" s="134">
        <f t="shared" si="387"/>
        <v>3.7131783593566281E-2</v>
      </c>
      <c r="AQ166" s="134">
        <f t="shared" si="388"/>
        <v>0</v>
      </c>
    </row>
    <row r="167" spans="1:43">
      <c r="A167" s="12"/>
      <c r="B167" s="5"/>
      <c r="C167" s="13"/>
      <c r="D167" s="13"/>
      <c r="E167" s="5"/>
      <c r="F167" s="107"/>
      <c r="G167" s="5"/>
      <c r="H167" s="13"/>
      <c r="I167" s="104"/>
      <c r="J167" s="13"/>
      <c r="K167" s="13"/>
      <c r="L167" s="13"/>
      <c r="M167" s="108"/>
      <c r="N167" s="13"/>
      <c r="O167" s="13"/>
      <c r="P167" s="103"/>
      <c r="Q167" s="5"/>
      <c r="R167" s="103"/>
      <c r="S167" s="13"/>
      <c r="T167" s="13"/>
      <c r="U167" s="108"/>
      <c r="V167" s="45"/>
      <c r="W167" s="13"/>
      <c r="X167" s="13"/>
      <c r="Y167" s="13"/>
      <c r="Z167" s="104"/>
      <c r="AA167" s="104"/>
      <c r="AB167" s="104"/>
      <c r="AC167" s="109"/>
      <c r="AD167" s="104"/>
      <c r="AE167" s="109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</row>
    <row r="168" spans="1:43" ht="15.75" thickBot="1">
      <c r="A168" s="87"/>
      <c r="B168" s="87"/>
      <c r="C168" s="100"/>
      <c r="D168" s="100"/>
      <c r="E168" s="87"/>
      <c r="F168" s="110"/>
      <c r="G168" s="87"/>
      <c r="H168" s="100"/>
      <c r="I168" s="101"/>
      <c r="J168" s="100"/>
      <c r="K168" s="100"/>
      <c r="L168" s="100"/>
      <c r="M168" s="111"/>
      <c r="N168" s="100"/>
      <c r="O168" s="100"/>
      <c r="P168" s="106"/>
      <c r="Q168" s="87"/>
      <c r="R168" s="106"/>
      <c r="S168" s="100"/>
      <c r="T168" s="100"/>
      <c r="U168" s="111"/>
      <c r="V168" s="112"/>
      <c r="W168" s="100"/>
      <c r="X168" s="100"/>
      <c r="Y168" s="100"/>
      <c r="Z168" s="101"/>
      <c r="AA168" s="101"/>
      <c r="AB168" s="101"/>
      <c r="AC168" s="113"/>
      <c r="AD168" s="101"/>
      <c r="AE168" s="113"/>
      <c r="AF168" s="87"/>
      <c r="AG168" s="59"/>
      <c r="AH168" s="87"/>
      <c r="AI168" s="87"/>
      <c r="AJ168" s="87"/>
      <c r="AK168" s="87"/>
      <c r="AL168" s="87"/>
      <c r="AM168" s="87"/>
      <c r="AN168" s="87"/>
      <c r="AO168" s="87"/>
      <c r="AP168" s="87"/>
      <c r="AQ168" s="87"/>
    </row>
    <row r="169" spans="1:43">
      <c r="A169" s="15" t="s">
        <v>76</v>
      </c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  <c r="W169" s="59"/>
      <c r="X169" s="59"/>
      <c r="Y169" s="59"/>
      <c r="Z169" s="59"/>
      <c r="AA169" s="59"/>
      <c r="AB169" s="59"/>
      <c r="AC169" s="59"/>
      <c r="AD169" s="59"/>
      <c r="AE169" s="59"/>
      <c r="AF169" s="59"/>
      <c r="AG169" s="59" t="s">
        <v>110</v>
      </c>
      <c r="AH169" s="59"/>
      <c r="AI169" s="59"/>
      <c r="AJ169" s="59"/>
      <c r="AK169" s="59"/>
      <c r="AL169" s="59"/>
      <c r="AM169" s="59"/>
      <c r="AN169" s="59"/>
      <c r="AO169" s="59"/>
      <c r="AP169" s="59"/>
      <c r="AQ169" s="59"/>
    </row>
    <row r="170" spans="1:43">
      <c r="A170" s="2" t="s">
        <v>107</v>
      </c>
      <c r="B170" s="2"/>
      <c r="C170" s="2"/>
      <c r="D170" s="20">
        <v>0</v>
      </c>
      <c r="E170" s="60">
        <v>0.5</v>
      </c>
      <c r="F170" s="60">
        <v>0</v>
      </c>
      <c r="G170" s="59"/>
      <c r="H170" s="59"/>
      <c r="I170" s="59"/>
      <c r="J170" s="59"/>
      <c r="K170" s="59"/>
      <c r="L170" s="59"/>
      <c r="M170" s="59"/>
      <c r="N170" s="59"/>
      <c r="O170" s="59"/>
      <c r="P170" s="2" t="s">
        <v>52</v>
      </c>
      <c r="Q170" s="2"/>
      <c r="R170" s="2"/>
      <c r="S170" s="138"/>
      <c r="T170" s="138"/>
      <c r="U170" s="59"/>
      <c r="V170" s="59"/>
      <c r="W170" s="59"/>
      <c r="X170" s="59"/>
      <c r="Y170" s="59"/>
      <c r="Z170" s="59"/>
      <c r="AA170" s="59"/>
      <c r="AB170" s="59"/>
      <c r="AC170" s="59"/>
      <c r="AD170" s="59"/>
      <c r="AE170" s="59"/>
      <c r="AF170" s="59"/>
      <c r="AG170" s="59"/>
      <c r="AH170" s="59"/>
      <c r="AI170" s="59"/>
      <c r="AJ170" s="59"/>
      <c r="AK170" s="59"/>
      <c r="AL170" s="59"/>
      <c r="AM170" s="59" t="s">
        <v>111</v>
      </c>
      <c r="AN170" s="59"/>
      <c r="AO170" s="59"/>
      <c r="AP170" s="59"/>
      <c r="AQ170" s="59"/>
    </row>
    <row r="171" spans="1:43" ht="135">
      <c r="A171" s="27"/>
      <c r="B171" s="28" t="s">
        <v>12</v>
      </c>
      <c r="C171" s="28" t="s">
        <v>8</v>
      </c>
      <c r="D171" s="143" t="s">
        <v>42</v>
      </c>
      <c r="E171" s="28" t="s">
        <v>3</v>
      </c>
      <c r="F171" s="143" t="s">
        <v>4</v>
      </c>
      <c r="G171" s="28" t="s">
        <v>41</v>
      </c>
      <c r="H171" s="35"/>
      <c r="I171" s="66" t="s">
        <v>1</v>
      </c>
      <c r="J171" s="66" t="s">
        <v>6</v>
      </c>
      <c r="K171" s="66" t="s">
        <v>5</v>
      </c>
      <c r="L171" s="35"/>
      <c r="M171" s="66" t="s">
        <v>21</v>
      </c>
      <c r="N171" s="66" t="s">
        <v>20</v>
      </c>
      <c r="O171" s="66" t="s">
        <v>22</v>
      </c>
      <c r="P171" s="31" t="s">
        <v>49</v>
      </c>
      <c r="Q171" s="31" t="s">
        <v>112</v>
      </c>
      <c r="R171" s="28" t="s">
        <v>18</v>
      </c>
      <c r="S171" s="28" t="s">
        <v>19</v>
      </c>
      <c r="T171" s="73" t="s">
        <v>83</v>
      </c>
      <c r="U171" s="27"/>
      <c r="V171" s="27"/>
      <c r="W171" s="27"/>
      <c r="X171" s="35"/>
      <c r="Y171" s="35"/>
      <c r="Z171" s="35"/>
      <c r="AA171" s="35"/>
      <c r="AB171" s="35"/>
      <c r="AC171" s="35"/>
      <c r="AD171" s="35"/>
      <c r="AE171" s="35"/>
      <c r="AF171" s="35"/>
      <c r="AG171" s="28" t="str">
        <f>E171</f>
        <v>Inboard (cm)</v>
      </c>
      <c r="AH171" s="28" t="s">
        <v>113</v>
      </c>
      <c r="AI171" s="28" t="s">
        <v>114</v>
      </c>
      <c r="AJ171" s="28" t="s">
        <v>115</v>
      </c>
      <c r="AK171" s="28" t="str">
        <f>Q171</f>
        <v>distance to move stretcher to stern (cm)</v>
      </c>
      <c r="AL171" s="35"/>
      <c r="AM171" s="28" t="str">
        <f>AG171</f>
        <v>Inboard (cm)</v>
      </c>
      <c r="AN171" s="28" t="str">
        <f t="shared" ref="AN171:AQ171" si="395">AH171</f>
        <v>Change in catch angle (deg)</v>
      </c>
      <c r="AO171" s="28" t="str">
        <f t="shared" si="395"/>
        <v>Change in finish angle (deg)</v>
      </c>
      <c r="AP171" s="28" t="str">
        <f t="shared" si="395"/>
        <v>Change in sweep angle (deg)</v>
      </c>
      <c r="AQ171" s="28" t="str">
        <f t="shared" si="395"/>
        <v>distance to move stretcher to stern (cm)</v>
      </c>
    </row>
    <row r="172" spans="1:43">
      <c r="A172" s="59"/>
      <c r="B172" s="20">
        <f>B$177</f>
        <v>183</v>
      </c>
      <c r="C172" s="63">
        <f t="shared" ref="C172:C175" si="396">C$177</f>
        <v>162.89629500000001</v>
      </c>
      <c r="D172" s="140">
        <f t="shared" ref="D172:E172" si="397">5*D170+D177</f>
        <v>25</v>
      </c>
      <c r="E172" s="63">
        <f t="shared" si="397"/>
        <v>90.5</v>
      </c>
      <c r="F172" s="140">
        <f>5*F170+F177</f>
        <v>160</v>
      </c>
      <c r="G172" s="63">
        <f t="shared" ref="G172:G176" si="398">(E172+2)*2 -F172</f>
        <v>25</v>
      </c>
      <c r="H172" s="59"/>
      <c r="I172" s="9">
        <f t="shared" ref="I172:I182" si="399">DEGREES(ACOS((F172-D172)/2/(E172+2)))</f>
        <v>43.136258871295773</v>
      </c>
      <c r="J172" s="9">
        <f t="shared" ref="J172:J182" si="400">DEGREES(C172/(E172-6+2))</f>
        <v>107.8990774776649</v>
      </c>
      <c r="K172" s="9">
        <f t="shared" ref="K172:K176" si="401">J172-I172</f>
        <v>64.762818606369137</v>
      </c>
      <c r="L172" s="59"/>
      <c r="M172" s="84">
        <f t="shared" ref="M172:M182" si="402">K172-K$177</f>
        <v>-4.937918829812574</v>
      </c>
      <c r="N172" s="84">
        <f t="shared" ref="N172:O182" si="403">I172-I$177</f>
        <v>1.726636762024917</v>
      </c>
      <c r="O172" s="84">
        <f t="shared" si="403"/>
        <v>-3.2112820677876641</v>
      </c>
      <c r="P172" s="62">
        <f t="shared" ref="P172:P182" si="404">((F172-D172)/2)*TAN(RADIANS(I172))</f>
        <v>63.245553203367592</v>
      </c>
      <c r="Q172" s="41">
        <f t="shared" ref="Q172:Q176" si="405">P$177-P172</f>
        <v>-3.7161487044143087</v>
      </c>
      <c r="R172" s="49">
        <f t="shared" ref="R172:R182" si="406">(E172+2)*SIN(RADIANS(K172))</f>
        <v>83.670926588547189</v>
      </c>
      <c r="S172" s="49">
        <f t="shared" ref="S172:S182" si="407">(F172/2)- (E172+2)*COS(RADIANS(K172))</f>
        <v>40.561110007836866</v>
      </c>
      <c r="T172" s="61">
        <f t="shared" ref="T172:T176" si="408">D172-D$177</f>
        <v>0</v>
      </c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128">
        <f>E172</f>
        <v>90.5</v>
      </c>
      <c r="AH172" s="128">
        <f>M172</f>
        <v>-4.937918829812574</v>
      </c>
      <c r="AI172" s="128">
        <f>N172</f>
        <v>1.726636762024917</v>
      </c>
      <c r="AJ172" s="128">
        <f t="shared" ref="AJ172:AJ182" si="409">O172</f>
        <v>-3.2112820677876641</v>
      </c>
      <c r="AK172" s="128">
        <f>Q172</f>
        <v>-3.7161487044143087</v>
      </c>
      <c r="AL172" s="59"/>
      <c r="AM172" s="134">
        <f>AG172/AG$38-1</f>
        <v>2.8409090909090828E-2</v>
      </c>
      <c r="AN172" s="135">
        <f t="shared" ref="AN172:AN176" si="410">K172/K$177-1</f>
        <v>-7.0844570824429964E-2</v>
      </c>
      <c r="AO172" s="135">
        <f t="shared" ref="AO172:AP182" si="411">J172/J$177-1</f>
        <v>-2.8901734104046395E-2</v>
      </c>
      <c r="AP172" s="135">
        <f t="shared" si="411"/>
        <v>-7.0844570824429964E-2</v>
      </c>
      <c r="AQ172" s="134">
        <f t="shared" ref="AQ172:AQ176" si="412">(Q172+60)/(Q$177+60) -1</f>
        <v>-6.1935811740238433E-2</v>
      </c>
    </row>
    <row r="173" spans="1:43">
      <c r="A173" s="59"/>
      <c r="B173" s="20">
        <f t="shared" ref="B173:B176" si="413">B$177</f>
        <v>183</v>
      </c>
      <c r="C173" s="63">
        <f t="shared" si="396"/>
        <v>162.89629500000001</v>
      </c>
      <c r="D173" s="140">
        <f t="shared" ref="D173:E173" si="414">4*D170+D177</f>
        <v>25</v>
      </c>
      <c r="E173" s="63">
        <f t="shared" si="414"/>
        <v>90</v>
      </c>
      <c r="F173" s="140">
        <f>4*F170+F177</f>
        <v>160</v>
      </c>
      <c r="G173" s="63">
        <f t="shared" si="398"/>
        <v>24</v>
      </c>
      <c r="H173" s="59"/>
      <c r="I173" s="9">
        <f t="shared" si="399"/>
        <v>42.802884971450631</v>
      </c>
      <c r="J173" s="9">
        <f t="shared" si="400"/>
        <v>108.52639769555832</v>
      </c>
      <c r="K173" s="9">
        <f t="shared" si="401"/>
        <v>65.723512724107678</v>
      </c>
      <c r="L173" s="59"/>
      <c r="M173" s="84">
        <f t="shared" si="402"/>
        <v>-3.9772247120740332</v>
      </c>
      <c r="N173" s="84">
        <f t="shared" si="403"/>
        <v>1.3932628621797747</v>
      </c>
      <c r="O173" s="84">
        <f t="shared" si="403"/>
        <v>-2.5839618498942514</v>
      </c>
      <c r="P173" s="62">
        <f t="shared" si="404"/>
        <v>62.511998848221126</v>
      </c>
      <c r="Q173" s="41">
        <f t="shared" si="405"/>
        <v>-2.9825943492678419</v>
      </c>
      <c r="R173" s="49">
        <f t="shared" si="406"/>
        <v>83.864630887726349</v>
      </c>
      <c r="S173" s="49">
        <f t="shared" si="407"/>
        <v>42.175091724296067</v>
      </c>
      <c r="T173" s="61">
        <f t="shared" si="408"/>
        <v>0</v>
      </c>
      <c r="U173" s="59"/>
      <c r="V173" s="59"/>
      <c r="W173" s="59"/>
      <c r="X173" s="59"/>
      <c r="Y173" s="59"/>
      <c r="Z173" s="59"/>
      <c r="AA173" s="59"/>
      <c r="AB173" s="59"/>
      <c r="AC173" s="59"/>
      <c r="AD173" s="59"/>
      <c r="AE173" s="59"/>
      <c r="AF173" s="59"/>
      <c r="AG173" s="128">
        <f t="shared" ref="AG173:AG182" si="415">E173</f>
        <v>90</v>
      </c>
      <c r="AH173" s="128">
        <f t="shared" ref="AH173:AI182" si="416">M173</f>
        <v>-3.9772247120740332</v>
      </c>
      <c r="AI173" s="128">
        <f t="shared" si="416"/>
        <v>1.3932628621797747</v>
      </c>
      <c r="AJ173" s="128">
        <f t="shared" si="409"/>
        <v>-2.5839618498942514</v>
      </c>
      <c r="AK173" s="128">
        <f t="shared" ref="AK173:AK182" si="417">Q173</f>
        <v>-2.9825943492678419</v>
      </c>
      <c r="AL173" s="59"/>
      <c r="AM173" s="134">
        <f t="shared" ref="AM173:AM176" si="418">AG173/AG$38-1</f>
        <v>2.2727272727272707E-2</v>
      </c>
      <c r="AN173" s="135">
        <f t="shared" si="410"/>
        <v>-5.706144380058531E-2</v>
      </c>
      <c r="AO173" s="135">
        <f t="shared" si="411"/>
        <v>-2.3255813953488413E-2</v>
      </c>
      <c r="AP173" s="135">
        <f t="shared" si="411"/>
        <v>-5.706144380058531E-2</v>
      </c>
      <c r="AQ173" s="134">
        <f t="shared" si="412"/>
        <v>-4.9709905821130662E-2</v>
      </c>
    </row>
    <row r="174" spans="1:43">
      <c r="A174" s="59"/>
      <c r="B174" s="20">
        <f t="shared" si="413"/>
        <v>183</v>
      </c>
      <c r="C174" s="63">
        <f t="shared" si="396"/>
        <v>162.89629500000001</v>
      </c>
      <c r="D174" s="140">
        <f t="shared" ref="D174:E174" si="419">3*D170+D177</f>
        <v>25</v>
      </c>
      <c r="E174" s="63">
        <f t="shared" si="419"/>
        <v>89.5</v>
      </c>
      <c r="F174" s="140">
        <f>3*F170+F177</f>
        <v>160</v>
      </c>
      <c r="G174" s="63">
        <f t="shared" si="398"/>
        <v>23</v>
      </c>
      <c r="H174" s="59"/>
      <c r="I174" s="9">
        <f t="shared" si="399"/>
        <v>42.463724951708826</v>
      </c>
      <c r="J174" s="9">
        <f t="shared" si="400"/>
        <v>109.16105499202357</v>
      </c>
      <c r="K174" s="9">
        <f t="shared" si="401"/>
        <v>66.697330040314739</v>
      </c>
      <c r="L174" s="59"/>
      <c r="M174" s="84">
        <f t="shared" si="402"/>
        <v>-3.0034073958669723</v>
      </c>
      <c r="N174" s="84">
        <f t="shared" si="403"/>
        <v>1.0541028424379704</v>
      </c>
      <c r="O174" s="84">
        <f t="shared" si="403"/>
        <v>-1.9493045534290019</v>
      </c>
      <c r="P174" s="62">
        <f t="shared" si="404"/>
        <v>61.773780845921983</v>
      </c>
      <c r="Q174" s="41">
        <f t="shared" si="405"/>
        <v>-2.2443763469686999</v>
      </c>
      <c r="R174" s="49">
        <f t="shared" si="406"/>
        <v>84.036157250112581</v>
      </c>
      <c r="S174" s="49">
        <f t="shared" si="407"/>
        <v>43.803670425934754</v>
      </c>
      <c r="T174" s="61">
        <f t="shared" si="408"/>
        <v>0</v>
      </c>
      <c r="U174" s="59"/>
      <c r="V174" s="59"/>
      <c r="W174" s="59"/>
      <c r="X174" s="59"/>
      <c r="Y174" s="59"/>
      <c r="Z174" s="59"/>
      <c r="AA174" s="59"/>
      <c r="AB174" s="59"/>
      <c r="AC174" s="59"/>
      <c r="AD174" s="59"/>
      <c r="AE174" s="59"/>
      <c r="AF174" s="59"/>
      <c r="AG174" s="128">
        <f t="shared" si="415"/>
        <v>89.5</v>
      </c>
      <c r="AH174" s="128">
        <f t="shared" si="416"/>
        <v>-3.0034073958669723</v>
      </c>
      <c r="AI174" s="128">
        <f t="shared" si="416"/>
        <v>1.0541028424379704</v>
      </c>
      <c r="AJ174" s="128">
        <f t="shared" si="409"/>
        <v>-1.9493045534290019</v>
      </c>
      <c r="AK174" s="128">
        <f t="shared" si="417"/>
        <v>-2.2443763469686999</v>
      </c>
      <c r="AL174" s="59"/>
      <c r="AM174" s="134">
        <f t="shared" si="418"/>
        <v>1.7045454545454586E-2</v>
      </c>
      <c r="AN174" s="135">
        <f t="shared" si="410"/>
        <v>-4.3090037585569396E-2</v>
      </c>
      <c r="AO174" s="135">
        <f t="shared" si="411"/>
        <v>-1.7543859649122862E-2</v>
      </c>
      <c r="AP174" s="135">
        <f t="shared" si="411"/>
        <v>-4.3090037585569396E-2</v>
      </c>
      <c r="AQ174" s="134">
        <f t="shared" si="412"/>
        <v>-3.7406272449478362E-2</v>
      </c>
    </row>
    <row r="175" spans="1:43">
      <c r="A175" s="59"/>
      <c r="B175" s="20">
        <f t="shared" si="413"/>
        <v>183</v>
      </c>
      <c r="C175" s="63">
        <f t="shared" si="396"/>
        <v>162.89629500000001</v>
      </c>
      <c r="D175" s="140">
        <f t="shared" ref="D175:E175" si="420">2*D170+D177</f>
        <v>25</v>
      </c>
      <c r="E175" s="63">
        <f t="shared" si="420"/>
        <v>89</v>
      </c>
      <c r="F175" s="140">
        <f>2*F170+F177</f>
        <v>160</v>
      </c>
      <c r="G175" s="63">
        <f t="shared" si="398"/>
        <v>22</v>
      </c>
      <c r="H175" s="59"/>
      <c r="I175" s="9">
        <f t="shared" si="399"/>
        <v>42.118593054396214</v>
      </c>
      <c r="J175" s="9">
        <f t="shared" si="400"/>
        <v>109.80317884491782</v>
      </c>
      <c r="K175" s="9">
        <f t="shared" si="401"/>
        <v>67.684585790521609</v>
      </c>
      <c r="L175" s="59"/>
      <c r="M175" s="84">
        <f t="shared" si="402"/>
        <v>-2.0161516456601021</v>
      </c>
      <c r="N175" s="84">
        <f t="shared" si="403"/>
        <v>0.7089709451253583</v>
      </c>
      <c r="O175" s="84">
        <f t="shared" si="403"/>
        <v>-1.3071807005347438</v>
      </c>
      <c r="P175" s="62">
        <f t="shared" si="404"/>
        <v>61.030729964502292</v>
      </c>
      <c r="Q175" s="41">
        <f t="shared" si="405"/>
        <v>-1.5013254655490087</v>
      </c>
      <c r="R175" s="49">
        <f t="shared" si="406"/>
        <v>84.184791627787845</v>
      </c>
      <c r="S175" s="49">
        <f t="shared" si="407"/>
        <v>45.446840107076454</v>
      </c>
      <c r="T175" s="61">
        <f t="shared" si="408"/>
        <v>0</v>
      </c>
      <c r="U175" s="59"/>
      <c r="V175" s="59"/>
      <c r="W175" s="59"/>
      <c r="X175" s="59"/>
      <c r="Y175" s="59"/>
      <c r="Z175" s="59"/>
      <c r="AA175" s="59"/>
      <c r="AB175" s="59"/>
      <c r="AC175" s="59"/>
      <c r="AD175" s="59"/>
      <c r="AE175" s="59"/>
      <c r="AF175" s="59"/>
      <c r="AG175" s="128">
        <f t="shared" si="415"/>
        <v>89</v>
      </c>
      <c r="AH175" s="128">
        <f t="shared" si="416"/>
        <v>-2.0161516456601021</v>
      </c>
      <c r="AI175" s="128">
        <f t="shared" si="416"/>
        <v>0.7089709451253583</v>
      </c>
      <c r="AJ175" s="128">
        <f t="shared" si="409"/>
        <v>-1.3071807005347438</v>
      </c>
      <c r="AK175" s="128">
        <f t="shared" si="417"/>
        <v>-1.5013254655490087</v>
      </c>
      <c r="AL175" s="59"/>
      <c r="AM175" s="134">
        <f t="shared" si="418"/>
        <v>1.1363636363636465E-2</v>
      </c>
      <c r="AN175" s="135">
        <f t="shared" si="410"/>
        <v>-2.8925829479294896E-2</v>
      </c>
      <c r="AO175" s="135">
        <f t="shared" si="411"/>
        <v>-1.176470588235301E-2</v>
      </c>
      <c r="AP175" s="135">
        <f t="shared" si="411"/>
        <v>-2.8925829479294896E-2</v>
      </c>
      <c r="AQ175" s="134">
        <f t="shared" si="412"/>
        <v>-2.5022091092483434E-2</v>
      </c>
    </row>
    <row r="176" spans="1:43">
      <c r="A176" s="59"/>
      <c r="B176" s="20">
        <f t="shared" si="413"/>
        <v>183</v>
      </c>
      <c r="C176" s="63">
        <f>C$177</f>
        <v>162.89629500000001</v>
      </c>
      <c r="D176" s="140">
        <f t="shared" ref="D176:E176" si="421">D177+D170</f>
        <v>25</v>
      </c>
      <c r="E176" s="63">
        <f t="shared" si="421"/>
        <v>88.5</v>
      </c>
      <c r="F176" s="140">
        <f>F177+F170</f>
        <v>160</v>
      </c>
      <c r="G176" s="63">
        <f t="shared" si="398"/>
        <v>21</v>
      </c>
      <c r="H176" s="59"/>
      <c r="I176" s="9">
        <f t="shared" si="399"/>
        <v>41.76729396591643</v>
      </c>
      <c r="J176" s="9">
        <f t="shared" si="400"/>
        <v>110.4529017966629</v>
      </c>
      <c r="K176" s="9">
        <f t="shared" si="401"/>
        <v>68.685607830746477</v>
      </c>
      <c r="L176" s="59"/>
      <c r="M176" s="84">
        <f t="shared" si="402"/>
        <v>-1.0151296054352343</v>
      </c>
      <c r="N176" s="84">
        <f t="shared" si="403"/>
        <v>0.35767185664557388</v>
      </c>
      <c r="O176" s="84">
        <f t="shared" si="403"/>
        <v>-0.65745774878966756</v>
      </c>
      <c r="P176" s="62">
        <f t="shared" si="404"/>
        <v>60.282667492406134</v>
      </c>
      <c r="Q176" s="41">
        <f t="shared" si="405"/>
        <v>-0.75326299345285008</v>
      </c>
      <c r="R176" s="49">
        <f t="shared" si="406"/>
        <v>84.309795732722847</v>
      </c>
      <c r="S176" s="49">
        <f t="shared" si="407"/>
        <v>47.104584764643135</v>
      </c>
      <c r="T176" s="61">
        <f t="shared" si="408"/>
        <v>0</v>
      </c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128">
        <f t="shared" si="415"/>
        <v>88.5</v>
      </c>
      <c r="AH176" s="128">
        <f t="shared" si="416"/>
        <v>-1.0151296054352343</v>
      </c>
      <c r="AI176" s="128">
        <f t="shared" si="416"/>
        <v>0.35767185664557388</v>
      </c>
      <c r="AJ176" s="128">
        <f t="shared" si="409"/>
        <v>-0.65745774878966756</v>
      </c>
      <c r="AK176" s="128">
        <f t="shared" si="417"/>
        <v>-0.75326299345285008</v>
      </c>
      <c r="AL176" s="59"/>
      <c r="AM176" s="134">
        <f t="shared" si="418"/>
        <v>5.6818181818181213E-3</v>
      </c>
      <c r="AN176" s="135">
        <f t="shared" si="410"/>
        <v>-1.4564115714911785E-2</v>
      </c>
      <c r="AO176" s="135">
        <f t="shared" si="411"/>
        <v>-5.9171597633136397E-3</v>
      </c>
      <c r="AP176" s="135">
        <f t="shared" si="411"/>
        <v>-1.4564115714911785E-2</v>
      </c>
      <c r="AQ176" s="134">
        <f t="shared" si="412"/>
        <v>-1.2554383224214205E-2</v>
      </c>
    </row>
    <row r="177" spans="1:43">
      <c r="A177" s="15"/>
      <c r="B177" s="36">
        <v>183</v>
      </c>
      <c r="C177" s="40">
        <f>100*(0.297865*B177/100+1.08387)</f>
        <v>162.89629500000001</v>
      </c>
      <c r="D177" s="72">
        <v>25</v>
      </c>
      <c r="E177" s="72">
        <v>88</v>
      </c>
      <c r="F177" s="72">
        <v>160</v>
      </c>
      <c r="G177" s="40">
        <f>(E177+2)*2 -F177</f>
        <v>20</v>
      </c>
      <c r="H177" s="15"/>
      <c r="I177" s="44">
        <f t="shared" si="399"/>
        <v>41.409622109270856</v>
      </c>
      <c r="J177" s="44">
        <f t="shared" si="400"/>
        <v>111.11035954545257</v>
      </c>
      <c r="K177" s="44">
        <f>J177-I177</f>
        <v>69.700737436181711</v>
      </c>
      <c r="L177" s="15"/>
      <c r="M177" s="84">
        <f t="shared" si="402"/>
        <v>0</v>
      </c>
      <c r="N177" s="84">
        <f t="shared" si="403"/>
        <v>0</v>
      </c>
      <c r="O177" s="84">
        <f t="shared" si="403"/>
        <v>0</v>
      </c>
      <c r="P177" s="41">
        <f t="shared" si="404"/>
        <v>59.529404498953284</v>
      </c>
      <c r="Q177" s="41">
        <f>P$177-P177</f>
        <v>0</v>
      </c>
      <c r="R177" s="49">
        <f t="shared" si="406"/>
        <v>84.410405985170328</v>
      </c>
      <c r="S177" s="49">
        <f t="shared" si="407"/>
        <v>48.776877775937891</v>
      </c>
      <c r="T177" s="61">
        <f>D177-D$177</f>
        <v>0</v>
      </c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28">
        <f t="shared" si="415"/>
        <v>88</v>
      </c>
      <c r="AH177" s="128">
        <f t="shared" si="416"/>
        <v>0</v>
      </c>
      <c r="AI177" s="128">
        <f t="shared" si="416"/>
        <v>0</v>
      </c>
      <c r="AJ177" s="128">
        <f t="shared" si="409"/>
        <v>0</v>
      </c>
      <c r="AK177" s="128">
        <f t="shared" si="417"/>
        <v>0</v>
      </c>
      <c r="AL177" s="15"/>
      <c r="AM177" s="134">
        <f>AG177/AG$177-1</f>
        <v>0</v>
      </c>
      <c r="AN177" s="135">
        <f>K177/K$177-1</f>
        <v>0</v>
      </c>
      <c r="AO177" s="135">
        <f t="shared" si="411"/>
        <v>0</v>
      </c>
      <c r="AP177" s="135">
        <f t="shared" si="411"/>
        <v>0</v>
      </c>
      <c r="AQ177" s="134">
        <f>(Q177+60)/(Q$177+60) -1</f>
        <v>0</v>
      </c>
    </row>
    <row r="178" spans="1:43">
      <c r="A178" s="59"/>
      <c r="B178" s="20">
        <f>B$177</f>
        <v>183</v>
      </c>
      <c r="C178" s="63">
        <f t="shared" ref="C178:C181" si="422">C$177</f>
        <v>162.89629500000001</v>
      </c>
      <c r="D178" s="140">
        <f t="shared" ref="D178:E178" si="423">D177-D170</f>
        <v>25</v>
      </c>
      <c r="E178" s="63">
        <f t="shared" si="423"/>
        <v>87.5</v>
      </c>
      <c r="F178" s="140">
        <f>F177-F170</f>
        <v>160</v>
      </c>
      <c r="G178" s="63">
        <f t="shared" ref="G178:G182" si="424">(E178+2)*2 -F178</f>
        <v>19</v>
      </c>
      <c r="H178" s="59"/>
      <c r="I178" s="9">
        <f t="shared" si="399"/>
        <v>41.045360866902982</v>
      </c>
      <c r="J178" s="9">
        <f t="shared" si="400"/>
        <v>111.77569103973671</v>
      </c>
      <c r="K178" s="9">
        <f t="shared" ref="K178:K182" si="425">J178-I178</f>
        <v>70.730330172833732</v>
      </c>
      <c r="L178" s="59"/>
      <c r="M178" s="84">
        <f t="shared" si="402"/>
        <v>1.0295927366520203</v>
      </c>
      <c r="N178" s="84">
        <f t="shared" si="403"/>
        <v>-0.36426124236787416</v>
      </c>
      <c r="O178" s="84">
        <f t="shared" si="403"/>
        <v>0.66533149428414617</v>
      </c>
      <c r="P178" s="62">
        <f t="shared" si="404"/>
        <v>58.770741019660463</v>
      </c>
      <c r="Q178" s="41">
        <f t="shared" ref="Q178:Q182" si="426">P$177-P178</f>
        <v>0.75866347929282085</v>
      </c>
      <c r="R178" s="49">
        <f t="shared" si="406"/>
        <v>84.485832389839572</v>
      </c>
      <c r="S178" s="49">
        <f t="shared" si="407"/>
        <v>50.463681248403084</v>
      </c>
      <c r="T178" s="61">
        <f t="shared" ref="T178:T182" si="427">D178-D$177</f>
        <v>0</v>
      </c>
      <c r="U178" s="59"/>
      <c r="V178" s="59"/>
      <c r="W178" s="59"/>
      <c r="X178" s="59"/>
      <c r="Y178" s="59"/>
      <c r="Z178" s="59"/>
      <c r="AA178" s="59"/>
      <c r="AB178" s="59"/>
      <c r="AC178" s="59"/>
      <c r="AD178" s="59"/>
      <c r="AE178" s="59"/>
      <c r="AF178" s="59"/>
      <c r="AG178" s="128">
        <f t="shared" si="415"/>
        <v>87.5</v>
      </c>
      <c r="AH178" s="128">
        <f t="shared" si="416"/>
        <v>1.0295927366520203</v>
      </c>
      <c r="AI178" s="128">
        <f t="shared" si="416"/>
        <v>-0.36426124236787416</v>
      </c>
      <c r="AJ178" s="128">
        <f t="shared" si="409"/>
        <v>0.66533149428414617</v>
      </c>
      <c r="AK178" s="128">
        <f t="shared" si="417"/>
        <v>0.75866347929282085</v>
      </c>
      <c r="AL178" s="59"/>
      <c r="AM178" s="134">
        <f t="shared" ref="AM178:AM182" si="428">AG178/AG$177-1</f>
        <v>-5.6818181818182323E-3</v>
      </c>
      <c r="AN178" s="135">
        <f t="shared" ref="AN178:AN182" si="429">K178/K$177-1</f>
        <v>1.4771618988891122E-2</v>
      </c>
      <c r="AO178" s="135">
        <f t="shared" si="411"/>
        <v>5.9880239520957446E-3</v>
      </c>
      <c r="AP178" s="135">
        <f t="shared" si="411"/>
        <v>1.4771618988891122E-2</v>
      </c>
      <c r="AQ178" s="134">
        <f t="shared" ref="AQ178:AQ182" si="430">(Q178+60)/(Q$177+60) -1</f>
        <v>1.2644391321547044E-2</v>
      </c>
    </row>
    <row r="179" spans="1:43">
      <c r="A179" s="59"/>
      <c r="B179" s="20">
        <f t="shared" ref="B179:B182" si="431">B$177</f>
        <v>183</v>
      </c>
      <c r="C179" s="63">
        <f t="shared" si="422"/>
        <v>162.89629500000001</v>
      </c>
      <c r="D179" s="140">
        <f t="shared" ref="D179:E179" si="432">D177-2*D170</f>
        <v>25</v>
      </c>
      <c r="E179" s="63">
        <f t="shared" si="432"/>
        <v>87</v>
      </c>
      <c r="F179" s="140">
        <f>F177-2*F170</f>
        <v>160</v>
      </c>
      <c r="G179" s="63">
        <f t="shared" si="424"/>
        <v>18</v>
      </c>
      <c r="H179" s="59"/>
      <c r="I179" s="9">
        <f t="shared" si="399"/>
        <v>40.6742817252184</v>
      </c>
      <c r="J179" s="9">
        <f t="shared" si="400"/>
        <v>112.44903857612067</v>
      </c>
      <c r="K179" s="9">
        <f t="shared" si="425"/>
        <v>71.774756850902264</v>
      </c>
      <c r="L179" s="59"/>
      <c r="M179" s="84">
        <f t="shared" si="402"/>
        <v>2.0740194147205528</v>
      </c>
      <c r="N179" s="84">
        <f t="shared" si="403"/>
        <v>-0.73534038405245639</v>
      </c>
      <c r="O179" s="84">
        <f t="shared" si="403"/>
        <v>1.3386790306681036</v>
      </c>
      <c r="P179" s="62">
        <f t="shared" si="404"/>
        <v>58.006465156911602</v>
      </c>
      <c r="Q179" s="41">
        <f t="shared" si="426"/>
        <v>1.5229393420416812</v>
      </c>
      <c r="R179" s="49">
        <f t="shared" si="406"/>
        <v>84.535257331684861</v>
      </c>
      <c r="S179" s="49">
        <f t="shared" si="407"/>
        <v>52.164945341066399</v>
      </c>
      <c r="T179" s="61">
        <f t="shared" si="427"/>
        <v>0</v>
      </c>
      <c r="U179" s="59"/>
      <c r="V179" s="59"/>
      <c r="W179" s="59"/>
      <c r="X179" s="59"/>
      <c r="Y179" s="59"/>
      <c r="Z179" s="59"/>
      <c r="AA179" s="59"/>
      <c r="AB179" s="59"/>
      <c r="AC179" s="59"/>
      <c r="AD179" s="59"/>
      <c r="AE179" s="59"/>
      <c r="AF179" s="59"/>
      <c r="AG179" s="128">
        <f t="shared" si="415"/>
        <v>87</v>
      </c>
      <c r="AH179" s="128">
        <f t="shared" si="416"/>
        <v>2.0740194147205528</v>
      </c>
      <c r="AI179" s="128">
        <f t="shared" si="416"/>
        <v>-0.73534038405245639</v>
      </c>
      <c r="AJ179" s="128">
        <f t="shared" si="409"/>
        <v>1.3386790306681036</v>
      </c>
      <c r="AK179" s="128">
        <f t="shared" si="417"/>
        <v>1.5229393420416812</v>
      </c>
      <c r="AL179" s="59"/>
      <c r="AM179" s="134">
        <f t="shared" si="428"/>
        <v>-1.1363636363636354E-2</v>
      </c>
      <c r="AN179" s="135">
        <f t="shared" si="429"/>
        <v>2.9756061284423874E-2</v>
      </c>
      <c r="AO179" s="135">
        <f t="shared" si="411"/>
        <v>1.2048192771084265E-2</v>
      </c>
      <c r="AP179" s="135">
        <f t="shared" si="411"/>
        <v>2.9756061284423874E-2</v>
      </c>
      <c r="AQ179" s="134">
        <f t="shared" si="430"/>
        <v>2.5382322367361265E-2</v>
      </c>
    </row>
    <row r="180" spans="1:43">
      <c r="A180" s="59"/>
      <c r="B180" s="20">
        <f t="shared" si="431"/>
        <v>183</v>
      </c>
      <c r="C180" s="63">
        <f t="shared" si="422"/>
        <v>162.89629500000001</v>
      </c>
      <c r="D180" s="140">
        <f t="shared" ref="D180:E180" si="433">D177-3*D170</f>
        <v>25</v>
      </c>
      <c r="E180" s="63">
        <f t="shared" si="433"/>
        <v>86.5</v>
      </c>
      <c r="F180" s="140">
        <f>F177-3*F170</f>
        <v>160</v>
      </c>
      <c r="G180" s="63">
        <f t="shared" si="424"/>
        <v>17</v>
      </c>
      <c r="H180" s="59"/>
      <c r="I180" s="9">
        <f t="shared" si="399"/>
        <v>40.296143330827839</v>
      </c>
      <c r="J180" s="9">
        <f t="shared" si="400"/>
        <v>113.13054790082442</v>
      </c>
      <c r="K180" s="9">
        <f t="shared" si="425"/>
        <v>72.834404569996593</v>
      </c>
      <c r="L180" s="59"/>
      <c r="M180" s="84">
        <f t="shared" si="402"/>
        <v>3.1336671338148818</v>
      </c>
      <c r="N180" s="84">
        <f t="shared" si="403"/>
        <v>-1.1134787784430173</v>
      </c>
      <c r="O180" s="84">
        <f t="shared" si="403"/>
        <v>2.0201883553718574</v>
      </c>
      <c r="P180" s="62">
        <f t="shared" si="404"/>
        <v>57.23635208501674</v>
      </c>
      <c r="Q180" s="41">
        <f>P$177-P180</f>
        <v>2.2930524139365431</v>
      </c>
      <c r="R180" s="49">
        <f t="shared" si="406"/>
        <v>84.55783428187226</v>
      </c>
      <c r="S180" s="49">
        <f t="shared" si="407"/>
        <v>53.880607557612876</v>
      </c>
      <c r="T180" s="61">
        <f t="shared" si="427"/>
        <v>0</v>
      </c>
      <c r="U180" s="59"/>
      <c r="V180" s="59"/>
      <c r="W180" s="59"/>
      <c r="X180" s="59"/>
      <c r="Y180" s="59"/>
      <c r="Z180" s="59"/>
      <c r="AA180" s="59"/>
      <c r="AB180" s="59"/>
      <c r="AC180" s="59"/>
      <c r="AD180" s="59"/>
      <c r="AE180" s="59"/>
      <c r="AF180" s="59"/>
      <c r="AG180" s="128">
        <f t="shared" si="415"/>
        <v>86.5</v>
      </c>
      <c r="AH180" s="128">
        <f t="shared" si="416"/>
        <v>3.1336671338148818</v>
      </c>
      <c r="AI180" s="128">
        <f t="shared" si="416"/>
        <v>-1.1134787784430173</v>
      </c>
      <c r="AJ180" s="128">
        <f t="shared" si="409"/>
        <v>2.0201883553718574</v>
      </c>
      <c r="AK180" s="128">
        <f t="shared" si="417"/>
        <v>2.2930524139365431</v>
      </c>
      <c r="AL180" s="59"/>
      <c r="AM180" s="134">
        <f t="shared" si="428"/>
        <v>-1.7045454545454586E-2</v>
      </c>
      <c r="AN180" s="135">
        <f t="shared" si="429"/>
        <v>4.495888062424136E-2</v>
      </c>
      <c r="AO180" s="135">
        <f t="shared" si="411"/>
        <v>1.8181818181818077E-2</v>
      </c>
      <c r="AP180" s="135">
        <f t="shared" si="411"/>
        <v>4.495888062424136E-2</v>
      </c>
      <c r="AQ180" s="134">
        <f t="shared" si="430"/>
        <v>3.8217540232275748E-2</v>
      </c>
    </row>
    <row r="181" spans="1:43">
      <c r="A181" s="59"/>
      <c r="B181" s="20">
        <f t="shared" si="431"/>
        <v>183</v>
      </c>
      <c r="C181" s="63">
        <f t="shared" si="422"/>
        <v>162.89629500000001</v>
      </c>
      <c r="D181" s="140">
        <f t="shared" ref="D181:E181" si="434">D177-4*D170</f>
        <v>25</v>
      </c>
      <c r="E181" s="63">
        <f t="shared" si="434"/>
        <v>86</v>
      </c>
      <c r="F181" s="140">
        <f>F177-4*F170</f>
        <v>160</v>
      </c>
      <c r="G181" s="63">
        <f t="shared" si="424"/>
        <v>16</v>
      </c>
      <c r="H181" s="59"/>
      <c r="I181" s="9">
        <f t="shared" si="399"/>
        <v>39.910690447022567</v>
      </c>
      <c r="J181" s="9">
        <f t="shared" si="400"/>
        <v>113.82036831485384</v>
      </c>
      <c r="K181" s="9">
        <f t="shared" si="425"/>
        <v>73.909677867831277</v>
      </c>
      <c r="L181" s="59"/>
      <c r="M181" s="84">
        <f t="shared" si="402"/>
        <v>4.208940431649566</v>
      </c>
      <c r="N181" s="84">
        <f t="shared" si="403"/>
        <v>-1.4989316622482889</v>
      </c>
      <c r="O181" s="84">
        <f t="shared" si="403"/>
        <v>2.71000876940127</v>
      </c>
      <c r="P181" s="62">
        <f t="shared" si="404"/>
        <v>56.46016294698412</v>
      </c>
      <c r="Q181" s="41">
        <f t="shared" si="426"/>
        <v>3.0692415519691636</v>
      </c>
      <c r="R181" s="49">
        <f t="shared" si="406"/>
        <v>84.552686402984207</v>
      </c>
      <c r="S181" s="49">
        <f t="shared" si="407"/>
        <v>55.610592011313386</v>
      </c>
      <c r="T181" s="61">
        <f t="shared" si="427"/>
        <v>0</v>
      </c>
      <c r="U181" s="59"/>
      <c r="V181" s="59"/>
      <c r="W181" s="59"/>
      <c r="X181" s="59"/>
      <c r="Y181" s="59"/>
      <c r="Z181" s="59"/>
      <c r="AA181" s="59"/>
      <c r="AB181" s="59"/>
      <c r="AC181" s="59"/>
      <c r="AD181" s="59"/>
      <c r="AE181" s="59"/>
      <c r="AF181" s="59"/>
      <c r="AG181" s="128">
        <f t="shared" si="415"/>
        <v>86</v>
      </c>
      <c r="AH181" s="128">
        <f t="shared" si="416"/>
        <v>4.208940431649566</v>
      </c>
      <c r="AI181" s="128">
        <f t="shared" si="416"/>
        <v>-1.4989316622482889</v>
      </c>
      <c r="AJ181" s="128">
        <f t="shared" si="409"/>
        <v>2.71000876940127</v>
      </c>
      <c r="AK181" s="128">
        <f t="shared" si="417"/>
        <v>3.0692415519691636</v>
      </c>
      <c r="AL181" s="59"/>
      <c r="AM181" s="134">
        <f t="shared" si="428"/>
        <v>-2.2727272727272707E-2</v>
      </c>
      <c r="AN181" s="135">
        <f t="shared" si="429"/>
        <v>6.0385880931364433E-2</v>
      </c>
      <c r="AO181" s="135">
        <f t="shared" si="411"/>
        <v>2.4390243902438824E-2</v>
      </c>
      <c r="AP181" s="135">
        <f t="shared" si="411"/>
        <v>6.0385880931364433E-2</v>
      </c>
      <c r="AQ181" s="134">
        <f t="shared" si="430"/>
        <v>5.1154025866152697E-2</v>
      </c>
    </row>
    <row r="182" spans="1:43">
      <c r="A182" s="59"/>
      <c r="B182" s="20">
        <f t="shared" si="431"/>
        <v>183</v>
      </c>
      <c r="C182" s="63">
        <f>C$177</f>
        <v>162.89629500000001</v>
      </c>
      <c r="D182" s="140">
        <f t="shared" ref="D182:E182" si="435">D177-5*D170</f>
        <v>25</v>
      </c>
      <c r="E182" s="63">
        <f t="shared" si="435"/>
        <v>85.5</v>
      </c>
      <c r="F182" s="140">
        <f>F177-5*F170</f>
        <v>160</v>
      </c>
      <c r="G182" s="63">
        <f t="shared" si="424"/>
        <v>15</v>
      </c>
      <c r="H182" s="59"/>
      <c r="I182" s="9">
        <f t="shared" si="399"/>
        <v>39.517652797172779</v>
      </c>
      <c r="J182" s="9">
        <f t="shared" si="400"/>
        <v>114.51865278304312</v>
      </c>
      <c r="K182" s="9">
        <f t="shared" si="425"/>
        <v>75.000999985870351</v>
      </c>
      <c r="L182" s="59"/>
      <c r="M182" s="84">
        <f t="shared" si="402"/>
        <v>5.3002625496886395</v>
      </c>
      <c r="N182" s="84">
        <f t="shared" si="403"/>
        <v>-1.8919693120980767</v>
      </c>
      <c r="O182" s="84">
        <f t="shared" si="403"/>
        <v>3.4082932375905557</v>
      </c>
      <c r="P182" s="62">
        <f t="shared" si="404"/>
        <v>55.677643628300203</v>
      </c>
      <c r="Q182" s="41">
        <f t="shared" si="426"/>
        <v>3.8517608706530808</v>
      </c>
      <c r="R182" s="49">
        <f t="shared" si="406"/>
        <v>84.518905040730132</v>
      </c>
      <c r="S182" s="49">
        <f t="shared" si="407"/>
        <v>57.35480866241042</v>
      </c>
      <c r="T182" s="61">
        <f t="shared" si="427"/>
        <v>0</v>
      </c>
      <c r="U182" s="59"/>
      <c r="V182" s="59"/>
      <c r="W182" s="59"/>
      <c r="X182" s="59"/>
      <c r="Y182" s="59"/>
      <c r="Z182" s="59"/>
      <c r="AA182" s="59"/>
      <c r="AB182" s="59"/>
      <c r="AC182" s="59"/>
      <c r="AD182" s="59"/>
      <c r="AE182" s="59"/>
      <c r="AF182" s="59"/>
      <c r="AG182" s="128">
        <f t="shared" si="415"/>
        <v>85.5</v>
      </c>
      <c r="AH182" s="128">
        <f t="shared" si="416"/>
        <v>5.3002625496886395</v>
      </c>
      <c r="AI182" s="128">
        <f t="shared" si="416"/>
        <v>-1.8919693120980767</v>
      </c>
      <c r="AJ182" s="128">
        <f t="shared" si="409"/>
        <v>3.4082932375905557</v>
      </c>
      <c r="AK182" s="128">
        <f t="shared" si="417"/>
        <v>3.8517608706530808</v>
      </c>
      <c r="AL182" s="59"/>
      <c r="AM182" s="134">
        <f t="shared" si="428"/>
        <v>-2.8409090909090939E-2</v>
      </c>
      <c r="AN182" s="135">
        <f t="shared" si="429"/>
        <v>7.6043134472452145E-2</v>
      </c>
      <c r="AO182" s="135">
        <f t="shared" si="411"/>
        <v>3.0674846625766694E-2</v>
      </c>
      <c r="AP182" s="135">
        <f t="shared" si="411"/>
        <v>7.6043134472452145E-2</v>
      </c>
      <c r="AQ182" s="134">
        <f t="shared" si="430"/>
        <v>6.4196014510884636E-2</v>
      </c>
    </row>
    <row r="183" spans="1:43">
      <c r="A183" s="12"/>
      <c r="B183" s="5"/>
      <c r="C183" s="13"/>
      <c r="D183" s="13"/>
      <c r="E183" s="13"/>
      <c r="F183" s="13"/>
      <c r="G183" s="13"/>
      <c r="H183" s="13"/>
      <c r="I183" s="13"/>
      <c r="J183" s="13"/>
      <c r="K183" s="12"/>
      <c r="L183" s="12"/>
      <c r="M183" s="108"/>
      <c r="N183" s="108"/>
      <c r="O183" s="108"/>
      <c r="P183" s="13"/>
      <c r="Q183" s="45"/>
      <c r="R183" s="108"/>
      <c r="S183" s="108"/>
      <c r="T183" s="13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31"/>
      <c r="AH183" s="132"/>
      <c r="AI183" s="132"/>
      <c r="AJ183" s="132"/>
      <c r="AK183" s="131"/>
      <c r="AL183" s="12"/>
      <c r="AM183" s="12"/>
      <c r="AN183" s="12"/>
      <c r="AO183" s="12"/>
      <c r="AP183" s="12"/>
      <c r="AQ183" s="12"/>
    </row>
    <row r="184" spans="1:43" ht="18.75">
      <c r="A184" s="15" t="s">
        <v>77</v>
      </c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59"/>
      <c r="AF184" s="59"/>
      <c r="AG184" s="59"/>
      <c r="AH184" s="59"/>
      <c r="AI184" s="59"/>
      <c r="AJ184" s="59"/>
      <c r="AK184" s="59"/>
      <c r="AL184" s="59"/>
      <c r="AM184" s="59"/>
      <c r="AN184" s="59"/>
      <c r="AO184" s="59"/>
      <c r="AP184" s="59"/>
      <c r="AQ184" s="59"/>
    </row>
    <row r="185" spans="1:43">
      <c r="A185" s="20"/>
      <c r="B185" s="20"/>
      <c r="C185" s="20"/>
      <c r="D185" s="20"/>
      <c r="E185" s="20"/>
      <c r="F185" s="20"/>
      <c r="G185" s="59"/>
      <c r="H185" s="59"/>
      <c r="I185" s="59"/>
      <c r="J185" s="59"/>
      <c r="K185" s="59"/>
      <c r="L185" s="59"/>
      <c r="M185" s="236" t="s">
        <v>14</v>
      </c>
      <c r="N185" s="237"/>
      <c r="O185" s="59"/>
      <c r="P185" s="59"/>
      <c r="Q185" s="59"/>
      <c r="R185" s="59"/>
      <c r="S185" s="59"/>
      <c r="T185" s="59"/>
      <c r="U185" s="59"/>
      <c r="V185" s="5"/>
      <c r="W185" s="59"/>
      <c r="X185" s="59"/>
      <c r="Y185" s="59"/>
      <c r="Z185" s="59"/>
      <c r="AA185" s="59"/>
      <c r="AB185" s="59"/>
      <c r="AC185" s="59"/>
      <c r="AD185" s="59"/>
      <c r="AE185" s="59"/>
      <c r="AF185" s="59"/>
      <c r="AG185" s="35"/>
      <c r="AH185" s="35"/>
      <c r="AI185" s="35"/>
      <c r="AJ185" s="35"/>
      <c r="AK185" s="35"/>
      <c r="AL185" s="59"/>
      <c r="AM185" s="59"/>
      <c r="AN185" s="59"/>
      <c r="AO185" s="59"/>
      <c r="AP185" s="59"/>
      <c r="AQ185" s="59"/>
    </row>
    <row r="186" spans="1:43" ht="136.5">
      <c r="A186" s="27"/>
      <c r="B186" s="28" t="s">
        <v>12</v>
      </c>
      <c r="C186" s="28" t="s">
        <v>8</v>
      </c>
      <c r="D186" s="65" t="s">
        <v>42</v>
      </c>
      <c r="E186" s="28" t="s">
        <v>3</v>
      </c>
      <c r="F186" s="28" t="s">
        <v>4</v>
      </c>
      <c r="G186" s="28" t="s">
        <v>41</v>
      </c>
      <c r="H186" s="65" t="s">
        <v>1</v>
      </c>
      <c r="I186" s="65" t="s">
        <v>6</v>
      </c>
      <c r="J186" s="65" t="s">
        <v>5</v>
      </c>
      <c r="K186" s="66" t="s">
        <v>20</v>
      </c>
      <c r="L186" s="31" t="s">
        <v>49</v>
      </c>
      <c r="M186" s="31" t="s">
        <v>9</v>
      </c>
      <c r="N186" s="28" t="s">
        <v>18</v>
      </c>
      <c r="O186" s="28" t="s">
        <v>19</v>
      </c>
      <c r="P186" s="32" t="s">
        <v>25</v>
      </c>
      <c r="Q186" s="28" t="s">
        <v>27</v>
      </c>
      <c r="R186" s="67" t="s">
        <v>26</v>
      </c>
      <c r="S186" s="28" t="s">
        <v>28</v>
      </c>
      <c r="T186" s="28" t="s">
        <v>33</v>
      </c>
      <c r="U186" s="28" t="s">
        <v>34</v>
      </c>
      <c r="V186" s="28" t="s">
        <v>30</v>
      </c>
      <c r="W186" s="28" t="s">
        <v>43</v>
      </c>
      <c r="X186" s="65" t="s">
        <v>29</v>
      </c>
      <c r="Y186" s="28" t="s">
        <v>32</v>
      </c>
      <c r="Z186" s="66" t="s">
        <v>31</v>
      </c>
      <c r="AA186" s="66" t="s">
        <v>35</v>
      </c>
      <c r="AB186" s="28" t="s">
        <v>36</v>
      </c>
      <c r="AC186" s="66" t="s">
        <v>37</v>
      </c>
      <c r="AD186" s="66" t="s">
        <v>48</v>
      </c>
      <c r="AE186" s="68" t="s">
        <v>38</v>
      </c>
      <c r="AF186" s="35"/>
      <c r="AG186" s="128" t="str">
        <f>E171</f>
        <v>Inboard (cm)</v>
      </c>
      <c r="AH186" s="28" t="s">
        <v>113</v>
      </c>
      <c r="AI186" s="28" t="s">
        <v>114</v>
      </c>
      <c r="AJ186" s="28" t="s">
        <v>115</v>
      </c>
      <c r="AK186" s="28" t="str">
        <f>Q171</f>
        <v>distance to move stretcher to stern (cm)</v>
      </c>
      <c r="AL186" s="35"/>
      <c r="AM186" s="28" t="str">
        <f>AG186</f>
        <v>Inboard (cm)</v>
      </c>
      <c r="AN186" s="28" t="str">
        <f t="shared" ref="AN186:AQ186" si="436">AH186</f>
        <v>Change in catch angle (deg)</v>
      </c>
      <c r="AO186" s="28" t="str">
        <f t="shared" si="436"/>
        <v>Change in finish angle (deg)</v>
      </c>
      <c r="AP186" s="28" t="str">
        <f t="shared" si="436"/>
        <v>Change in sweep angle (deg)</v>
      </c>
      <c r="AQ186" s="28" t="str">
        <f t="shared" si="436"/>
        <v>distance to move stretcher to stern (cm)</v>
      </c>
    </row>
    <row r="187" spans="1:43">
      <c r="A187" s="5"/>
      <c r="B187" s="20">
        <f>B172</f>
        <v>183</v>
      </c>
      <c r="C187" s="18">
        <f t="shared" ref="C187:C191" si="437">100*(0.297865*B187/100+1.08387)</f>
        <v>162.89629500000001</v>
      </c>
      <c r="D187" s="140">
        <f>D172</f>
        <v>25</v>
      </c>
      <c r="E187" s="63">
        <f t="shared" ref="E187:G187" si="438">E172</f>
        <v>90.5</v>
      </c>
      <c r="F187" s="63">
        <f t="shared" si="438"/>
        <v>160</v>
      </c>
      <c r="G187" s="63">
        <f t="shared" si="438"/>
        <v>25</v>
      </c>
      <c r="H187" s="120">
        <f t="shared" ref="H187:H191" si="439">DEGREES(ACOS((F187-D187)/2/(E187+2)))</f>
        <v>43.136258871295773</v>
      </c>
      <c r="I187" s="20"/>
      <c r="J187" s="63"/>
      <c r="K187" s="69">
        <f t="shared" ref="K187:K191" si="440">H187-H$192</f>
        <v>1.726636762024917</v>
      </c>
      <c r="L187" s="63">
        <f>L$192</f>
        <v>59.529404498953284</v>
      </c>
      <c r="M187" s="41">
        <f t="shared" ref="M187:M191" si="441">L187-L$192</f>
        <v>0</v>
      </c>
      <c r="N187" s="61"/>
      <c r="O187" s="61"/>
      <c r="P187" s="23">
        <f t="shared" ref="P187:P190" si="442">P$192</f>
        <v>1</v>
      </c>
      <c r="Q187" s="20">
        <f t="shared" ref="Q187:Q197" si="443">B187 *P187</f>
        <v>183</v>
      </c>
      <c r="R187" s="23">
        <f>R$192</f>
        <v>0.3</v>
      </c>
      <c r="S187" s="61">
        <f>Q187*R187</f>
        <v>54.9</v>
      </c>
      <c r="T187" s="61">
        <f>S187/2</f>
        <v>27.45</v>
      </c>
      <c r="U187" s="61">
        <f t="shared" ref="U187:U197" si="444">F187/2 -S187/2</f>
        <v>52.55</v>
      </c>
      <c r="V187" s="61"/>
      <c r="W187" s="61">
        <f t="shared" ref="W187:W191" si="445">COS(RADIANS(17))*((Q187-S187)/2 -8)</f>
        <v>53.600881571728131</v>
      </c>
      <c r="X187" s="61">
        <f>X$192-M187</f>
        <v>35.235017937930365</v>
      </c>
      <c r="Y187" s="61">
        <f>SQRT(X187*X187+U187*U187)</f>
        <v>63.269336878825229</v>
      </c>
      <c r="Z187" s="69">
        <f>DEGREES(ASIN(X187/Y187))</f>
        <v>33.84203553914503</v>
      </c>
      <c r="AA187" s="69">
        <f t="shared" ref="AA187:AA197" si="446">DEGREES(ACOS(((E187+2)*(E187+2)+(Y187*Y187)-(W187*W187))/(2*(E187+2)*(Y187))))</f>
        <v>34.15321292514701</v>
      </c>
      <c r="AB187" s="4">
        <f t="shared" ref="AB187:AB197" si="447">Z187+AA187</f>
        <v>67.995248464292047</v>
      </c>
      <c r="AC187" s="70">
        <f t="shared" ref="AC187:AC191" si="448">AB187-AB$192</f>
        <v>-1.7054889718896504</v>
      </c>
      <c r="AD187" s="69">
        <f>AB187+H187</f>
        <v>111.13150733558783</v>
      </c>
      <c r="AE187" s="71">
        <f t="shared" ref="AE187:AE197" si="449">H187+AB187-I$192</f>
        <v>2.114779013525947E-2</v>
      </c>
      <c r="AF187" s="59"/>
      <c r="AG187" s="128">
        <f>E172</f>
        <v>90.5</v>
      </c>
      <c r="AH187" s="128">
        <f t="shared" ref="AH187:AH197" si="450">AC187</f>
        <v>-1.7054889718896504</v>
      </c>
      <c r="AI187" s="128">
        <f>K187</f>
        <v>1.726636762024917</v>
      </c>
      <c r="AJ187" s="128">
        <f t="shared" ref="AJ187:AJ197" si="451">AE187</f>
        <v>2.114779013525947E-2</v>
      </c>
      <c r="AK187" s="128">
        <f>Q172</f>
        <v>-3.7161487044143087</v>
      </c>
      <c r="AL187" s="59"/>
      <c r="AM187" s="134">
        <f t="shared" ref="AM187:AM191" si="452">AG187/AG187-1</f>
        <v>0</v>
      </c>
      <c r="AN187" s="135">
        <f t="shared" ref="AN187:AN191" si="453">AB187/AB$192-1</f>
        <v>-2.4468736409728908E-2</v>
      </c>
      <c r="AO187" s="135">
        <f t="shared" ref="AO187:AO191" si="454">H187/H$192-1</f>
        <v>4.1696510957494493E-2</v>
      </c>
      <c r="AP187" s="134">
        <f t="shared" ref="AP187:AP191" si="455">AD187/AD$192-1</f>
        <v>1.9033139863644521E-4</v>
      </c>
      <c r="AQ187" s="134">
        <f t="shared" ref="AQ187:AQ191" si="456">(Q172+60)/(Q$177+60) -1</f>
        <v>-6.1935811740238433E-2</v>
      </c>
    </row>
    <row r="188" spans="1:43">
      <c r="A188" s="59"/>
      <c r="B188" s="20">
        <f t="shared" ref="B188:B197" si="457">B173</f>
        <v>183</v>
      </c>
      <c r="C188" s="18">
        <f t="shared" si="437"/>
        <v>162.89629500000001</v>
      </c>
      <c r="D188" s="140">
        <f t="shared" ref="D188:G197" si="458">D173</f>
        <v>25</v>
      </c>
      <c r="E188" s="63">
        <f t="shared" si="458"/>
        <v>90</v>
      </c>
      <c r="F188" s="63">
        <f t="shared" si="458"/>
        <v>160</v>
      </c>
      <c r="G188" s="63">
        <f t="shared" si="458"/>
        <v>24</v>
      </c>
      <c r="H188" s="120">
        <f t="shared" si="439"/>
        <v>42.802884971450631</v>
      </c>
      <c r="I188" s="20"/>
      <c r="J188" s="63"/>
      <c r="K188" s="69">
        <f t="shared" si="440"/>
        <v>1.3932628621797747</v>
      </c>
      <c r="L188" s="63">
        <f t="shared" ref="L188:L191" si="459">L$192</f>
        <v>59.529404498953284</v>
      </c>
      <c r="M188" s="41">
        <f t="shared" si="441"/>
        <v>0</v>
      </c>
      <c r="N188" s="61"/>
      <c r="O188" s="61"/>
      <c r="P188" s="23">
        <f t="shared" si="442"/>
        <v>1</v>
      </c>
      <c r="Q188" s="20">
        <f t="shared" si="443"/>
        <v>183</v>
      </c>
      <c r="R188" s="23">
        <f t="shared" ref="R188:R191" si="460">R$192</f>
        <v>0.3</v>
      </c>
      <c r="S188" s="61">
        <f>Q188*R188</f>
        <v>54.9</v>
      </c>
      <c r="T188" s="61">
        <f>S188/2</f>
        <v>27.45</v>
      </c>
      <c r="U188" s="61">
        <f t="shared" si="444"/>
        <v>52.55</v>
      </c>
      <c r="V188" s="61"/>
      <c r="W188" s="61">
        <f t="shared" si="445"/>
        <v>53.600881571728131</v>
      </c>
      <c r="X188" s="61">
        <f t="shared" ref="X188:X191" si="461">X$192-M188</f>
        <v>35.235017937930365</v>
      </c>
      <c r="Y188" s="61">
        <f>SQRT(X188*X188+U188*U188)</f>
        <v>63.269336878825229</v>
      </c>
      <c r="Z188" s="69">
        <f>DEGREES(ASIN(X188/Y188))</f>
        <v>33.84203553914503</v>
      </c>
      <c r="AA188" s="69">
        <f t="shared" si="446"/>
        <v>34.50137573623671</v>
      </c>
      <c r="AB188" s="4">
        <f t="shared" si="447"/>
        <v>68.34341127538174</v>
      </c>
      <c r="AC188" s="70">
        <f t="shared" si="448"/>
        <v>-1.3573261607999569</v>
      </c>
      <c r="AD188" s="69">
        <f t="shared" ref="AD188:AD197" si="462">AB188+H188</f>
        <v>111.14629624683238</v>
      </c>
      <c r="AE188" s="71">
        <f t="shared" si="449"/>
        <v>3.5936701379810643E-2</v>
      </c>
      <c r="AF188" s="59"/>
      <c r="AG188" s="128">
        <f t="shared" ref="AG188:AG197" si="463">E173</f>
        <v>90</v>
      </c>
      <c r="AH188" s="128">
        <f t="shared" si="450"/>
        <v>-1.3573261607999569</v>
      </c>
      <c r="AI188" s="128">
        <f t="shared" ref="AI188:AI197" si="464">K188</f>
        <v>1.3932628621797747</v>
      </c>
      <c r="AJ188" s="128">
        <f t="shared" si="451"/>
        <v>3.5936701379810643E-2</v>
      </c>
      <c r="AK188" s="128">
        <f t="shared" ref="AK188:AK197" si="465">Q173</f>
        <v>-2.9825943492678419</v>
      </c>
      <c r="AL188" s="59"/>
      <c r="AM188" s="134">
        <f t="shared" si="452"/>
        <v>0</v>
      </c>
      <c r="AN188" s="135">
        <f t="shared" si="453"/>
        <v>-1.9473626976224345E-2</v>
      </c>
      <c r="AO188" s="135">
        <f t="shared" si="454"/>
        <v>3.3645872413500033E-2</v>
      </c>
      <c r="AP188" s="134">
        <f t="shared" si="455"/>
        <v>3.2343250014532643E-4</v>
      </c>
      <c r="AQ188" s="134">
        <f t="shared" si="456"/>
        <v>-4.9709905821130662E-2</v>
      </c>
    </row>
    <row r="189" spans="1:43">
      <c r="A189" s="59"/>
      <c r="B189" s="20">
        <f t="shared" si="457"/>
        <v>183</v>
      </c>
      <c r="C189" s="18">
        <f t="shared" si="437"/>
        <v>162.89629500000001</v>
      </c>
      <c r="D189" s="140">
        <f t="shared" si="458"/>
        <v>25</v>
      </c>
      <c r="E189" s="63">
        <f t="shared" si="458"/>
        <v>89.5</v>
      </c>
      <c r="F189" s="63">
        <f t="shared" si="458"/>
        <v>160</v>
      </c>
      <c r="G189" s="63">
        <f t="shared" si="458"/>
        <v>23</v>
      </c>
      <c r="H189" s="120">
        <f t="shared" si="439"/>
        <v>42.463724951708826</v>
      </c>
      <c r="I189" s="20"/>
      <c r="J189" s="63"/>
      <c r="K189" s="69">
        <f t="shared" si="440"/>
        <v>1.0541028424379704</v>
      </c>
      <c r="L189" s="63">
        <f t="shared" si="459"/>
        <v>59.529404498953284</v>
      </c>
      <c r="M189" s="41">
        <f t="shared" si="441"/>
        <v>0</v>
      </c>
      <c r="N189" s="61"/>
      <c r="O189" s="61"/>
      <c r="P189" s="23">
        <f t="shared" si="442"/>
        <v>1</v>
      </c>
      <c r="Q189" s="20">
        <f t="shared" si="443"/>
        <v>183</v>
      </c>
      <c r="R189" s="23">
        <f t="shared" si="460"/>
        <v>0.3</v>
      </c>
      <c r="S189" s="61">
        <f t="shared" ref="S189:S191" si="466">Q189*R189</f>
        <v>54.9</v>
      </c>
      <c r="T189" s="61">
        <f t="shared" ref="T189:T191" si="467">S189/2</f>
        <v>27.45</v>
      </c>
      <c r="U189" s="61">
        <f t="shared" si="444"/>
        <v>52.55</v>
      </c>
      <c r="V189" s="61"/>
      <c r="W189" s="61">
        <f t="shared" si="445"/>
        <v>53.600881571728131</v>
      </c>
      <c r="X189" s="61">
        <f t="shared" si="461"/>
        <v>35.235017937930365</v>
      </c>
      <c r="Y189" s="61">
        <f>SQRT(X189*X189+U189*U189)</f>
        <v>63.269336878825229</v>
      </c>
      <c r="Z189" s="69">
        <f>DEGREES(ASIN(X189/Y189))</f>
        <v>33.84203553914503</v>
      </c>
      <c r="AA189" s="69">
        <f t="shared" si="446"/>
        <v>34.845912252777723</v>
      </c>
      <c r="AB189" s="4">
        <f t="shared" si="447"/>
        <v>68.687947791922753</v>
      </c>
      <c r="AC189" s="70">
        <f t="shared" si="448"/>
        <v>-1.0127896442589446</v>
      </c>
      <c r="AD189" s="69">
        <f t="shared" si="462"/>
        <v>111.15167274363158</v>
      </c>
      <c r="AE189" s="71">
        <f t="shared" si="449"/>
        <v>4.1313198179011579E-2</v>
      </c>
      <c r="AF189" s="59"/>
      <c r="AG189" s="128">
        <f t="shared" si="463"/>
        <v>89.5</v>
      </c>
      <c r="AH189" s="128">
        <f t="shared" si="450"/>
        <v>-1.0127896442589446</v>
      </c>
      <c r="AI189" s="128">
        <f t="shared" si="464"/>
        <v>1.0541028424379704</v>
      </c>
      <c r="AJ189" s="128">
        <f t="shared" si="451"/>
        <v>4.1313198179011579E-2</v>
      </c>
      <c r="AK189" s="128">
        <f t="shared" si="465"/>
        <v>-2.2443763469686999</v>
      </c>
      <c r="AL189" s="59"/>
      <c r="AM189" s="134">
        <f t="shared" si="452"/>
        <v>0</v>
      </c>
      <c r="AN189" s="135">
        <f t="shared" si="453"/>
        <v>-1.4530544173743665E-2</v>
      </c>
      <c r="AO189" s="135">
        <f t="shared" si="454"/>
        <v>2.5455504994863931E-2</v>
      </c>
      <c r="AP189" s="134">
        <f t="shared" si="455"/>
        <v>3.7182129864432589E-4</v>
      </c>
      <c r="AQ189" s="134">
        <f t="shared" si="456"/>
        <v>-3.7406272449478362E-2</v>
      </c>
    </row>
    <row r="190" spans="1:43">
      <c r="A190" s="59"/>
      <c r="B190" s="20">
        <f t="shared" si="457"/>
        <v>183</v>
      </c>
      <c r="C190" s="18">
        <f t="shared" si="437"/>
        <v>162.89629500000001</v>
      </c>
      <c r="D190" s="140">
        <f t="shared" si="458"/>
        <v>25</v>
      </c>
      <c r="E190" s="63">
        <f t="shared" si="458"/>
        <v>89</v>
      </c>
      <c r="F190" s="63">
        <f t="shared" si="458"/>
        <v>160</v>
      </c>
      <c r="G190" s="63">
        <f t="shared" si="458"/>
        <v>22</v>
      </c>
      <c r="H190" s="120">
        <f t="shared" si="439"/>
        <v>42.118593054396214</v>
      </c>
      <c r="I190" s="20"/>
      <c r="J190" s="63"/>
      <c r="K190" s="69">
        <f t="shared" si="440"/>
        <v>0.7089709451253583</v>
      </c>
      <c r="L190" s="63">
        <f t="shared" si="459"/>
        <v>59.529404498953284</v>
      </c>
      <c r="M190" s="41">
        <f t="shared" si="441"/>
        <v>0</v>
      </c>
      <c r="N190" s="61"/>
      <c r="O190" s="61"/>
      <c r="P190" s="23">
        <f t="shared" si="442"/>
        <v>1</v>
      </c>
      <c r="Q190" s="20">
        <f t="shared" si="443"/>
        <v>183</v>
      </c>
      <c r="R190" s="23">
        <f t="shared" si="460"/>
        <v>0.3</v>
      </c>
      <c r="S190" s="61">
        <f t="shared" si="466"/>
        <v>54.9</v>
      </c>
      <c r="T190" s="61">
        <f t="shared" si="467"/>
        <v>27.45</v>
      </c>
      <c r="U190" s="61">
        <f t="shared" si="444"/>
        <v>52.55</v>
      </c>
      <c r="V190" s="61"/>
      <c r="W190" s="61">
        <f t="shared" si="445"/>
        <v>53.600881571728131</v>
      </c>
      <c r="X190" s="61">
        <f t="shared" si="461"/>
        <v>35.235017937930365</v>
      </c>
      <c r="Y190" s="61">
        <f t="shared" ref="Y190:Y191" si="468">SQRT(X190*X190+U190*U190)</f>
        <v>63.269336878825229</v>
      </c>
      <c r="Z190" s="69">
        <f t="shared" ref="Z190:Z191" si="469">DEGREES(ASIN(X190/Y190))</f>
        <v>33.84203553914503</v>
      </c>
      <c r="AA190" s="69">
        <f t="shared" si="446"/>
        <v>35.186918740596532</v>
      </c>
      <c r="AB190" s="4">
        <f t="shared" si="447"/>
        <v>69.028954279741555</v>
      </c>
      <c r="AC190" s="70">
        <f t="shared" si="448"/>
        <v>-0.67178315644014219</v>
      </c>
      <c r="AD190" s="69">
        <f t="shared" si="462"/>
        <v>111.14754733413777</v>
      </c>
      <c r="AE190" s="71">
        <f t="shared" si="449"/>
        <v>3.7187788685201895E-2</v>
      </c>
      <c r="AF190" s="59"/>
      <c r="AG190" s="128">
        <f t="shared" si="463"/>
        <v>89</v>
      </c>
      <c r="AH190" s="128">
        <f t="shared" si="450"/>
        <v>-0.67178315644014219</v>
      </c>
      <c r="AI190" s="128">
        <f t="shared" si="464"/>
        <v>0.7089709451253583</v>
      </c>
      <c r="AJ190" s="128">
        <f t="shared" si="451"/>
        <v>3.7187788685201895E-2</v>
      </c>
      <c r="AK190" s="128">
        <f t="shared" si="465"/>
        <v>-1.5013254655490087</v>
      </c>
      <c r="AL190" s="59"/>
      <c r="AM190" s="134">
        <f t="shared" si="452"/>
        <v>0</v>
      </c>
      <c r="AN190" s="135">
        <f t="shared" si="453"/>
        <v>-9.6381068716128171E-3</v>
      </c>
      <c r="AO190" s="135">
        <f t="shared" si="454"/>
        <v>1.7120922843839148E-2</v>
      </c>
      <c r="AP190" s="134">
        <f t="shared" si="455"/>
        <v>3.3469236205641018E-4</v>
      </c>
      <c r="AQ190" s="134">
        <f t="shared" si="456"/>
        <v>-2.5022091092483434E-2</v>
      </c>
    </row>
    <row r="191" spans="1:43">
      <c r="A191" s="59"/>
      <c r="B191" s="20">
        <f t="shared" si="457"/>
        <v>183</v>
      </c>
      <c r="C191" s="18">
        <f t="shared" si="437"/>
        <v>162.89629500000001</v>
      </c>
      <c r="D191" s="140">
        <f t="shared" si="458"/>
        <v>25</v>
      </c>
      <c r="E191" s="63">
        <f t="shared" si="458"/>
        <v>88.5</v>
      </c>
      <c r="F191" s="63">
        <f t="shared" si="458"/>
        <v>160</v>
      </c>
      <c r="G191" s="63">
        <f t="shared" si="458"/>
        <v>21</v>
      </c>
      <c r="H191" s="120">
        <f t="shared" si="439"/>
        <v>41.76729396591643</v>
      </c>
      <c r="I191" s="20"/>
      <c r="J191" s="63"/>
      <c r="K191" s="69">
        <f t="shared" si="440"/>
        <v>0.35767185664557388</v>
      </c>
      <c r="L191" s="63">
        <f t="shared" si="459"/>
        <v>59.529404498953284</v>
      </c>
      <c r="M191" s="41">
        <f t="shared" si="441"/>
        <v>0</v>
      </c>
      <c r="N191" s="61"/>
      <c r="O191" s="61"/>
      <c r="P191" s="23">
        <f>P$192</f>
        <v>1</v>
      </c>
      <c r="Q191" s="20">
        <f t="shared" si="443"/>
        <v>183</v>
      </c>
      <c r="R191" s="23">
        <f t="shared" si="460"/>
        <v>0.3</v>
      </c>
      <c r="S191" s="61">
        <f t="shared" si="466"/>
        <v>54.9</v>
      </c>
      <c r="T191" s="61">
        <f t="shared" si="467"/>
        <v>27.45</v>
      </c>
      <c r="U191" s="61">
        <f t="shared" si="444"/>
        <v>52.55</v>
      </c>
      <c r="V191" s="61"/>
      <c r="W191" s="61">
        <f t="shared" si="445"/>
        <v>53.600881571728131</v>
      </c>
      <c r="X191" s="61">
        <f t="shared" si="461"/>
        <v>35.235017937930365</v>
      </c>
      <c r="Y191" s="61">
        <f t="shared" si="468"/>
        <v>63.269336878825229</v>
      </c>
      <c r="Z191" s="69">
        <f t="shared" si="469"/>
        <v>33.84203553914503</v>
      </c>
      <c r="AA191" s="69">
        <f t="shared" si="446"/>
        <v>35.524486442156295</v>
      </c>
      <c r="AB191" s="4">
        <f t="shared" si="447"/>
        <v>69.366521981301332</v>
      </c>
      <c r="AC191" s="70">
        <f t="shared" si="448"/>
        <v>-0.33421545488036486</v>
      </c>
      <c r="AD191" s="69">
        <f t="shared" si="462"/>
        <v>111.13381594721776</v>
      </c>
      <c r="AE191" s="71">
        <f t="shared" si="449"/>
        <v>2.3456401765187707E-2</v>
      </c>
      <c r="AF191" s="59"/>
      <c r="AG191" s="128">
        <f t="shared" si="463"/>
        <v>88.5</v>
      </c>
      <c r="AH191" s="128">
        <f t="shared" si="450"/>
        <v>-0.33421545488036486</v>
      </c>
      <c r="AI191" s="128">
        <f t="shared" si="464"/>
        <v>0.35767185664557388</v>
      </c>
      <c r="AJ191" s="128">
        <f t="shared" si="451"/>
        <v>2.3456401765187707E-2</v>
      </c>
      <c r="AK191" s="128">
        <f t="shared" si="465"/>
        <v>-0.75326299345285008</v>
      </c>
      <c r="AL191" s="59"/>
      <c r="AM191" s="134">
        <f t="shared" si="452"/>
        <v>0</v>
      </c>
      <c r="AN191" s="135">
        <f t="shared" si="453"/>
        <v>-4.7950060096045855E-3</v>
      </c>
      <c r="AO191" s="135">
        <f t="shared" si="454"/>
        <v>8.6374093369352423E-3</v>
      </c>
      <c r="AP191" s="134">
        <f t="shared" si="455"/>
        <v>2.1110904384769036E-4</v>
      </c>
      <c r="AQ191" s="134">
        <f t="shared" si="456"/>
        <v>-1.2554383224214205E-2</v>
      </c>
    </row>
    <row r="192" spans="1:43">
      <c r="A192" s="15"/>
      <c r="B192" s="20">
        <f t="shared" si="457"/>
        <v>183</v>
      </c>
      <c r="C192" s="37">
        <f>100*(0.297865*B192/100+1.08387)</f>
        <v>162.89629500000001</v>
      </c>
      <c r="D192" s="140">
        <f t="shared" si="458"/>
        <v>25</v>
      </c>
      <c r="E192" s="63">
        <f t="shared" si="458"/>
        <v>88</v>
      </c>
      <c r="F192" s="63">
        <f t="shared" si="458"/>
        <v>160</v>
      </c>
      <c r="G192" s="63">
        <f t="shared" si="458"/>
        <v>20</v>
      </c>
      <c r="H192" s="120">
        <f>DEGREES(ACOS((F192-D192)/2/(E192+2)))</f>
        <v>41.409622109270856</v>
      </c>
      <c r="I192" s="120">
        <f>DEGREES(C192/(E192-6+2))</f>
        <v>111.11035954545257</v>
      </c>
      <c r="J192" s="40">
        <f>I192-H192</f>
        <v>69.700737436181711</v>
      </c>
      <c r="K192" s="69">
        <f>H192-H$192</f>
        <v>0</v>
      </c>
      <c r="L192" s="41">
        <f>((F192-D192)/2)*TAN(RADIANS(H192))</f>
        <v>59.529404498953284</v>
      </c>
      <c r="M192" s="41">
        <f>L192-L$192</f>
        <v>0</v>
      </c>
      <c r="N192" s="39">
        <f>(E192+2)*SIN(RADIANS(J192))</f>
        <v>84.410405985170328</v>
      </c>
      <c r="O192" s="39">
        <f>(F192/2)- (E192+2)*COS(RADIANS(J192))</f>
        <v>48.776877775937891</v>
      </c>
      <c r="P192" s="42">
        <v>1</v>
      </c>
      <c r="Q192" s="43">
        <f t="shared" si="443"/>
        <v>183</v>
      </c>
      <c r="R192" s="42">
        <v>0.3</v>
      </c>
      <c r="S192" s="39">
        <f>Q192*R192</f>
        <v>54.9</v>
      </c>
      <c r="T192" s="39">
        <f>S192/2</f>
        <v>27.45</v>
      </c>
      <c r="U192" s="39">
        <f t="shared" si="444"/>
        <v>52.55</v>
      </c>
      <c r="V192" s="39">
        <f>O192-T192</f>
        <v>21.326877775937891</v>
      </c>
      <c r="W192" s="39">
        <f>COS(RADIANS(17))*((Q192-S192)/2-8)</f>
        <v>53.600881571728131</v>
      </c>
      <c r="X192" s="40">
        <f xml:space="preserve"> N192- SQRT(W192*W192-V192*V192)</f>
        <v>35.235017937930365</v>
      </c>
      <c r="Y192" s="39">
        <f>SQRT(X192*X192+U192*U192)</f>
        <v>63.269336878825229</v>
      </c>
      <c r="Z192" s="70">
        <f>DEGREES(ASIN(X192/Y192))</f>
        <v>33.84203553914503</v>
      </c>
      <c r="AA192" s="70">
        <f t="shared" si="446"/>
        <v>35.858701897036667</v>
      </c>
      <c r="AB192" s="52">
        <f t="shared" si="447"/>
        <v>69.700737436181697</v>
      </c>
      <c r="AC192" s="70">
        <f>AB192-AB$192</f>
        <v>0</v>
      </c>
      <c r="AD192" s="70">
        <f t="shared" si="462"/>
        <v>111.11035954545255</v>
      </c>
      <c r="AE192" s="71">
        <f t="shared" si="449"/>
        <v>0</v>
      </c>
      <c r="AF192" s="15"/>
      <c r="AG192" s="128">
        <f t="shared" si="463"/>
        <v>88</v>
      </c>
      <c r="AH192" s="128">
        <f t="shared" si="450"/>
        <v>0</v>
      </c>
      <c r="AI192" s="128">
        <f t="shared" si="464"/>
        <v>0</v>
      </c>
      <c r="AJ192" s="128">
        <f t="shared" si="451"/>
        <v>0</v>
      </c>
      <c r="AK192" s="128">
        <f t="shared" si="465"/>
        <v>0</v>
      </c>
      <c r="AL192" s="15"/>
      <c r="AM192" s="134">
        <f>AG192/AG192-1</f>
        <v>0</v>
      </c>
      <c r="AN192" s="135">
        <f>AB192/AB$192-1</f>
        <v>0</v>
      </c>
      <c r="AO192" s="135">
        <f>H192/H$192-1</f>
        <v>0</v>
      </c>
      <c r="AP192" s="134">
        <f>AD192/AD$192-1</f>
        <v>0</v>
      </c>
      <c r="AQ192" s="134">
        <f>(Q177+60)/(Q$177+60) -1</f>
        <v>0</v>
      </c>
    </row>
    <row r="193" spans="1:43">
      <c r="A193" s="5"/>
      <c r="B193" s="20">
        <f t="shared" si="457"/>
        <v>183</v>
      </c>
      <c r="C193" s="18">
        <f t="shared" ref="C193:C197" si="470">100*(0.297865*B193/100+1.08387)</f>
        <v>162.89629500000001</v>
      </c>
      <c r="D193" s="140">
        <f t="shared" si="458"/>
        <v>25</v>
      </c>
      <c r="E193" s="63">
        <f t="shared" si="458"/>
        <v>87.5</v>
      </c>
      <c r="F193" s="63">
        <f t="shared" si="458"/>
        <v>160</v>
      </c>
      <c r="G193" s="63">
        <f t="shared" si="458"/>
        <v>19</v>
      </c>
      <c r="H193" s="120">
        <f t="shared" ref="H193:H197" si="471">DEGREES(ACOS((F193-D193)/2/(E193+2)))</f>
        <v>41.045360866902982</v>
      </c>
      <c r="I193" s="20"/>
      <c r="J193" s="63"/>
      <c r="K193" s="69">
        <f t="shared" ref="K193:K197" si="472">H193-H$192</f>
        <v>-0.36426124236787416</v>
      </c>
      <c r="L193" s="63">
        <f>L$192</f>
        <v>59.529404498953284</v>
      </c>
      <c r="M193" s="41">
        <f t="shared" ref="M193:M197" si="473">L193-L$192</f>
        <v>0</v>
      </c>
      <c r="N193" s="61"/>
      <c r="O193" s="61"/>
      <c r="P193" s="23">
        <f t="shared" ref="P193:P196" si="474">P$192</f>
        <v>1</v>
      </c>
      <c r="Q193" s="20">
        <f t="shared" si="443"/>
        <v>183</v>
      </c>
      <c r="R193" s="23">
        <f>R$192</f>
        <v>0.3</v>
      </c>
      <c r="S193" s="61">
        <f>Q193*R193</f>
        <v>54.9</v>
      </c>
      <c r="T193" s="61">
        <f>S193/2</f>
        <v>27.45</v>
      </c>
      <c r="U193" s="61">
        <f t="shared" si="444"/>
        <v>52.55</v>
      </c>
      <c r="V193" s="61"/>
      <c r="W193" s="61">
        <f t="shared" ref="W193:W197" si="475">COS(RADIANS(17))*((Q193-S193)/2 -8)</f>
        <v>53.600881571728131</v>
      </c>
      <c r="X193" s="61">
        <f>X$192-M193</f>
        <v>35.235017937930365</v>
      </c>
      <c r="Y193" s="61">
        <f>SQRT(X193*X193+U193*U193)</f>
        <v>63.269336878825229</v>
      </c>
      <c r="Z193" s="69">
        <f>DEGREES(ASIN(X193/Y193))</f>
        <v>33.84203553914503</v>
      </c>
      <c r="AA193" s="69">
        <f t="shared" si="446"/>
        <v>36.189647235257127</v>
      </c>
      <c r="AB193" s="4">
        <f t="shared" si="447"/>
        <v>70.031682774402157</v>
      </c>
      <c r="AC193" s="70">
        <f t="shared" ref="AC193:AC197" si="476">AB193-AB$192</f>
        <v>0.33094533822045946</v>
      </c>
      <c r="AD193" s="69">
        <f t="shared" si="462"/>
        <v>111.07704364130514</v>
      </c>
      <c r="AE193" s="71">
        <f t="shared" si="449"/>
        <v>-3.331590414742891E-2</v>
      </c>
      <c r="AF193" s="59"/>
      <c r="AG193" s="128">
        <f t="shared" si="463"/>
        <v>87.5</v>
      </c>
      <c r="AH193" s="128">
        <f t="shared" si="450"/>
        <v>0.33094533822045946</v>
      </c>
      <c r="AI193" s="128">
        <f t="shared" si="464"/>
        <v>-0.36426124236787416</v>
      </c>
      <c r="AJ193" s="128">
        <f t="shared" si="451"/>
        <v>-3.331590414742891E-2</v>
      </c>
      <c r="AK193" s="128">
        <f t="shared" si="465"/>
        <v>0.75866347929282085</v>
      </c>
      <c r="AL193" s="59"/>
      <c r="AM193" s="134">
        <f t="shared" ref="AM193:AM197" si="477">AG193/AG193-1</f>
        <v>0</v>
      </c>
      <c r="AN193" s="135">
        <f t="shared" ref="AN193:AN197" si="478">AB193/AB$192-1</f>
        <v>4.748089480738571E-3</v>
      </c>
      <c r="AO193" s="135">
        <f t="shared" ref="AO193:AO197" si="479">H193/H$192-1</f>
        <v>-8.7965362592942187E-3</v>
      </c>
      <c r="AP193" s="134">
        <f t="shared" ref="AP193:AP197" si="480">AD193/AD$192-1</f>
        <v>-2.9984516550674023E-4</v>
      </c>
      <c r="AQ193" s="134">
        <f t="shared" ref="AQ193:AQ197" si="481">(Q178+60)/(Q$177+60) -1</f>
        <v>1.2644391321547044E-2</v>
      </c>
    </row>
    <row r="194" spans="1:43">
      <c r="A194" s="59"/>
      <c r="B194" s="20">
        <f t="shared" si="457"/>
        <v>183</v>
      </c>
      <c r="C194" s="18">
        <f t="shared" si="470"/>
        <v>162.89629500000001</v>
      </c>
      <c r="D194" s="140">
        <f t="shared" si="458"/>
        <v>25</v>
      </c>
      <c r="E194" s="63">
        <f t="shared" si="458"/>
        <v>87</v>
      </c>
      <c r="F194" s="63">
        <f t="shared" si="458"/>
        <v>160</v>
      </c>
      <c r="G194" s="63">
        <f t="shared" si="458"/>
        <v>18</v>
      </c>
      <c r="H194" s="120">
        <f t="shared" si="471"/>
        <v>40.6742817252184</v>
      </c>
      <c r="I194" s="20"/>
      <c r="J194" s="63"/>
      <c r="K194" s="69">
        <f t="shared" si="472"/>
        <v>-0.73534038405245639</v>
      </c>
      <c r="L194" s="63">
        <f t="shared" ref="L194:L197" si="482">L$192</f>
        <v>59.529404498953284</v>
      </c>
      <c r="M194" s="41">
        <f t="shared" si="473"/>
        <v>0</v>
      </c>
      <c r="N194" s="61"/>
      <c r="O194" s="61"/>
      <c r="P194" s="23">
        <f t="shared" si="474"/>
        <v>1</v>
      </c>
      <c r="Q194" s="20">
        <f t="shared" si="443"/>
        <v>183</v>
      </c>
      <c r="R194" s="23">
        <f t="shared" ref="R194:R197" si="483">R$192</f>
        <v>0.3</v>
      </c>
      <c r="S194" s="61">
        <f>Q194*R194</f>
        <v>54.9</v>
      </c>
      <c r="T194" s="61">
        <f>S194/2</f>
        <v>27.45</v>
      </c>
      <c r="U194" s="61">
        <f t="shared" si="444"/>
        <v>52.55</v>
      </c>
      <c r="V194" s="61"/>
      <c r="W194" s="61">
        <f t="shared" si="475"/>
        <v>53.600881571728131</v>
      </c>
      <c r="X194" s="61">
        <f t="shared" ref="X194:X197" si="484">X$192-M194</f>
        <v>35.235017937930365</v>
      </c>
      <c r="Y194" s="61">
        <f>SQRT(X194*X194+U194*U194)</f>
        <v>63.269336878825229</v>
      </c>
      <c r="Z194" s="69">
        <f>DEGREES(ASIN(X194/Y194))</f>
        <v>33.84203553914503</v>
      </c>
      <c r="AA194" s="69">
        <f t="shared" si="446"/>
        <v>36.517400446144471</v>
      </c>
      <c r="AB194" s="4">
        <f t="shared" si="447"/>
        <v>70.359435985289508</v>
      </c>
      <c r="AC194" s="70">
        <f t="shared" si="476"/>
        <v>0.658698549107811</v>
      </c>
      <c r="AD194" s="69">
        <f t="shared" si="462"/>
        <v>111.03371771050791</v>
      </c>
      <c r="AE194" s="71">
        <f t="shared" si="449"/>
        <v>-7.6641834944652487E-2</v>
      </c>
      <c r="AF194" s="59"/>
      <c r="AG194" s="128">
        <f t="shared" si="463"/>
        <v>87</v>
      </c>
      <c r="AH194" s="128">
        <f t="shared" si="450"/>
        <v>0.658698549107811</v>
      </c>
      <c r="AI194" s="128">
        <f t="shared" si="464"/>
        <v>-0.73534038405245639</v>
      </c>
      <c r="AJ194" s="128">
        <f t="shared" si="451"/>
        <v>-7.6641834944652487E-2</v>
      </c>
      <c r="AK194" s="128">
        <f t="shared" si="465"/>
        <v>1.5229393420416812</v>
      </c>
      <c r="AL194" s="59"/>
      <c r="AM194" s="134">
        <f t="shared" si="477"/>
        <v>0</v>
      </c>
      <c r="AN194" s="135">
        <f t="shared" si="478"/>
        <v>9.4503813494213329E-3</v>
      </c>
      <c r="AO194" s="135">
        <f t="shared" si="479"/>
        <v>-1.7757717810417462E-2</v>
      </c>
      <c r="AP194" s="134">
        <f t="shared" si="480"/>
        <v>-6.8978118024431989E-4</v>
      </c>
      <c r="AQ194" s="134">
        <f t="shared" si="481"/>
        <v>2.5382322367361265E-2</v>
      </c>
    </row>
    <row r="195" spans="1:43">
      <c r="A195" s="59"/>
      <c r="B195" s="20">
        <f t="shared" si="457"/>
        <v>183</v>
      </c>
      <c r="C195" s="18">
        <f t="shared" si="470"/>
        <v>162.89629500000001</v>
      </c>
      <c r="D195" s="140">
        <f t="shared" si="458"/>
        <v>25</v>
      </c>
      <c r="E195" s="63">
        <f t="shared" si="458"/>
        <v>86.5</v>
      </c>
      <c r="F195" s="63">
        <f t="shared" si="458"/>
        <v>160</v>
      </c>
      <c r="G195" s="63">
        <f t="shared" si="458"/>
        <v>17</v>
      </c>
      <c r="H195" s="120">
        <f t="shared" si="471"/>
        <v>40.296143330827839</v>
      </c>
      <c r="I195" s="20"/>
      <c r="J195" s="63"/>
      <c r="K195" s="69">
        <f t="shared" si="472"/>
        <v>-1.1134787784430173</v>
      </c>
      <c r="L195" s="63">
        <f t="shared" si="482"/>
        <v>59.529404498953284</v>
      </c>
      <c r="M195" s="41">
        <f t="shared" si="473"/>
        <v>0</v>
      </c>
      <c r="N195" s="61"/>
      <c r="O195" s="61"/>
      <c r="P195" s="23">
        <f t="shared" si="474"/>
        <v>1</v>
      </c>
      <c r="Q195" s="20">
        <f t="shared" si="443"/>
        <v>183</v>
      </c>
      <c r="R195" s="23">
        <f t="shared" si="483"/>
        <v>0.3</v>
      </c>
      <c r="S195" s="61">
        <f t="shared" ref="S195:S197" si="485">Q195*R195</f>
        <v>54.9</v>
      </c>
      <c r="T195" s="61">
        <f t="shared" ref="T195:T197" si="486">S195/2</f>
        <v>27.45</v>
      </c>
      <c r="U195" s="61">
        <f t="shared" si="444"/>
        <v>52.55</v>
      </c>
      <c r="V195" s="61"/>
      <c r="W195" s="61">
        <f t="shared" si="475"/>
        <v>53.600881571728131</v>
      </c>
      <c r="X195" s="61">
        <f t="shared" si="484"/>
        <v>35.235017937930365</v>
      </c>
      <c r="Y195" s="61">
        <f>SQRT(X195*X195+U195*U195)</f>
        <v>63.269336878825229</v>
      </c>
      <c r="Z195" s="69">
        <f>DEGREES(ASIN(X195/Y195))</f>
        <v>33.84203553914503</v>
      </c>
      <c r="AA195" s="69">
        <f t="shared" si="446"/>
        <v>36.842035625131309</v>
      </c>
      <c r="AB195" s="4">
        <f t="shared" si="447"/>
        <v>70.684071164276332</v>
      </c>
      <c r="AC195" s="70">
        <f t="shared" si="476"/>
        <v>0.98333372809463526</v>
      </c>
      <c r="AD195" s="69">
        <f t="shared" si="462"/>
        <v>110.98021449510418</v>
      </c>
      <c r="AE195" s="71">
        <f t="shared" si="449"/>
        <v>-0.13014505034838919</v>
      </c>
      <c r="AF195" s="59"/>
      <c r="AG195" s="128">
        <f t="shared" si="463"/>
        <v>86.5</v>
      </c>
      <c r="AH195" s="128">
        <f t="shared" si="450"/>
        <v>0.98333372809463526</v>
      </c>
      <c r="AI195" s="128">
        <f t="shared" si="464"/>
        <v>-1.1134787784430173</v>
      </c>
      <c r="AJ195" s="128">
        <f t="shared" si="451"/>
        <v>-0.13014505034838919</v>
      </c>
      <c r="AK195" s="128">
        <f t="shared" si="465"/>
        <v>2.2930524139365431</v>
      </c>
      <c r="AL195" s="59"/>
      <c r="AM195" s="134">
        <f t="shared" si="477"/>
        <v>0</v>
      </c>
      <c r="AN195" s="135">
        <f t="shared" si="478"/>
        <v>1.4107938656961583E-2</v>
      </c>
      <c r="AO195" s="135">
        <f t="shared" si="479"/>
        <v>-2.6889373090746682E-2</v>
      </c>
      <c r="AP195" s="134">
        <f t="shared" si="480"/>
        <v>-1.1713133760055117E-3</v>
      </c>
      <c r="AQ195" s="134">
        <f t="shared" si="481"/>
        <v>3.8217540232275748E-2</v>
      </c>
    </row>
    <row r="196" spans="1:43">
      <c r="A196" s="59"/>
      <c r="B196" s="20">
        <f t="shared" si="457"/>
        <v>183</v>
      </c>
      <c r="C196" s="18">
        <f t="shared" si="470"/>
        <v>162.89629500000001</v>
      </c>
      <c r="D196" s="140">
        <f t="shared" si="458"/>
        <v>25</v>
      </c>
      <c r="E196" s="63">
        <f t="shared" si="458"/>
        <v>86</v>
      </c>
      <c r="F196" s="63">
        <f t="shared" si="458"/>
        <v>160</v>
      </c>
      <c r="G196" s="63">
        <f t="shared" si="458"/>
        <v>16</v>
      </c>
      <c r="H196" s="120">
        <f t="shared" si="471"/>
        <v>39.910690447022567</v>
      </c>
      <c r="I196" s="20"/>
      <c r="J196" s="63"/>
      <c r="K196" s="69">
        <f t="shared" si="472"/>
        <v>-1.4989316622482889</v>
      </c>
      <c r="L196" s="63">
        <f t="shared" si="482"/>
        <v>59.529404498953284</v>
      </c>
      <c r="M196" s="41">
        <f t="shared" si="473"/>
        <v>0</v>
      </c>
      <c r="N196" s="61"/>
      <c r="O196" s="61"/>
      <c r="P196" s="23">
        <f t="shared" si="474"/>
        <v>1</v>
      </c>
      <c r="Q196" s="20">
        <f t="shared" si="443"/>
        <v>183</v>
      </c>
      <c r="R196" s="23">
        <f t="shared" si="483"/>
        <v>0.3</v>
      </c>
      <c r="S196" s="61">
        <f t="shared" si="485"/>
        <v>54.9</v>
      </c>
      <c r="T196" s="61">
        <f t="shared" si="486"/>
        <v>27.45</v>
      </c>
      <c r="U196" s="61">
        <f t="shared" si="444"/>
        <v>52.55</v>
      </c>
      <c r="V196" s="61"/>
      <c r="W196" s="61">
        <f t="shared" si="475"/>
        <v>53.600881571728131</v>
      </c>
      <c r="X196" s="61">
        <f t="shared" si="484"/>
        <v>35.235017937930365</v>
      </c>
      <c r="Y196" s="61">
        <f t="shared" ref="Y196:Y197" si="487">SQRT(X196*X196+U196*U196)</f>
        <v>63.269336878825229</v>
      </c>
      <c r="Z196" s="69">
        <f t="shared" ref="Z196:Z197" si="488">DEGREES(ASIN(X196/Y196))</f>
        <v>33.84203553914503</v>
      </c>
      <c r="AA196" s="69">
        <f t="shared" si="446"/>
        <v>37.163623200598764</v>
      </c>
      <c r="AB196" s="4">
        <f t="shared" si="447"/>
        <v>71.005658739743794</v>
      </c>
      <c r="AC196" s="70">
        <f t="shared" si="476"/>
        <v>1.3049213035620966</v>
      </c>
      <c r="AD196" s="69">
        <f t="shared" si="462"/>
        <v>110.91634918676635</v>
      </c>
      <c r="AE196" s="71">
        <f t="shared" si="449"/>
        <v>-0.19401035868621364</v>
      </c>
      <c r="AF196" s="59"/>
      <c r="AG196" s="128">
        <f t="shared" si="463"/>
        <v>86</v>
      </c>
      <c r="AH196" s="128">
        <f t="shared" si="450"/>
        <v>1.3049213035620966</v>
      </c>
      <c r="AI196" s="128">
        <f t="shared" si="464"/>
        <v>-1.4989316622482889</v>
      </c>
      <c r="AJ196" s="128">
        <f t="shared" si="451"/>
        <v>-0.19401035868621364</v>
      </c>
      <c r="AK196" s="128">
        <f t="shared" si="465"/>
        <v>3.0692415519691636</v>
      </c>
      <c r="AL196" s="59"/>
      <c r="AM196" s="134">
        <f t="shared" si="477"/>
        <v>0</v>
      </c>
      <c r="AN196" s="135">
        <f t="shared" si="478"/>
        <v>1.8721771842900248E-2</v>
      </c>
      <c r="AO196" s="135">
        <f t="shared" si="479"/>
        <v>-3.6197665805617341E-2</v>
      </c>
      <c r="AP196" s="134">
        <f t="shared" si="480"/>
        <v>-1.7461050389890875E-3</v>
      </c>
      <c r="AQ196" s="134">
        <f t="shared" si="481"/>
        <v>5.1154025866152697E-2</v>
      </c>
    </row>
    <row r="197" spans="1:43">
      <c r="A197" s="59"/>
      <c r="B197" s="20">
        <f t="shared" si="457"/>
        <v>183</v>
      </c>
      <c r="C197" s="18">
        <f t="shared" si="470"/>
        <v>162.89629500000001</v>
      </c>
      <c r="D197" s="140">
        <f t="shared" si="458"/>
        <v>25</v>
      </c>
      <c r="E197" s="63">
        <f t="shared" si="458"/>
        <v>85.5</v>
      </c>
      <c r="F197" s="63">
        <f t="shared" si="458"/>
        <v>160</v>
      </c>
      <c r="G197" s="63">
        <f t="shared" si="458"/>
        <v>15</v>
      </c>
      <c r="H197" s="120">
        <f t="shared" si="471"/>
        <v>39.517652797172779</v>
      </c>
      <c r="I197" s="20"/>
      <c r="J197" s="63"/>
      <c r="K197" s="69">
        <f t="shared" si="472"/>
        <v>-1.8919693120980767</v>
      </c>
      <c r="L197" s="63">
        <f t="shared" si="482"/>
        <v>59.529404498953284</v>
      </c>
      <c r="M197" s="41">
        <f t="shared" si="473"/>
        <v>0</v>
      </c>
      <c r="N197" s="61"/>
      <c r="O197" s="61"/>
      <c r="P197" s="23">
        <f>P$192</f>
        <v>1</v>
      </c>
      <c r="Q197" s="20">
        <f t="shared" si="443"/>
        <v>183</v>
      </c>
      <c r="R197" s="23">
        <f t="shared" si="483"/>
        <v>0.3</v>
      </c>
      <c r="S197" s="61">
        <f t="shared" si="485"/>
        <v>54.9</v>
      </c>
      <c r="T197" s="61">
        <f t="shared" si="486"/>
        <v>27.45</v>
      </c>
      <c r="U197" s="61">
        <f t="shared" si="444"/>
        <v>52.55</v>
      </c>
      <c r="V197" s="61"/>
      <c r="W197" s="61">
        <f t="shared" si="475"/>
        <v>53.600881571728131</v>
      </c>
      <c r="X197" s="61">
        <f t="shared" si="484"/>
        <v>35.235017937930365</v>
      </c>
      <c r="Y197" s="61">
        <f t="shared" si="487"/>
        <v>63.269336878825229</v>
      </c>
      <c r="Z197" s="69">
        <f t="shared" si="488"/>
        <v>33.84203553914503</v>
      </c>
      <c r="AA197" s="69">
        <f t="shared" si="446"/>
        <v>37.482230142638606</v>
      </c>
      <c r="AB197" s="4">
        <f t="shared" si="447"/>
        <v>71.324265681783629</v>
      </c>
      <c r="AC197" s="70">
        <f t="shared" si="476"/>
        <v>1.623528245601932</v>
      </c>
      <c r="AD197" s="69">
        <f t="shared" si="462"/>
        <v>110.84191847895642</v>
      </c>
      <c r="AE197" s="71">
        <f t="shared" si="449"/>
        <v>-0.26844106649615185</v>
      </c>
      <c r="AF197" s="59"/>
      <c r="AG197" s="128">
        <f t="shared" si="463"/>
        <v>85.5</v>
      </c>
      <c r="AH197" s="128">
        <f t="shared" si="450"/>
        <v>1.623528245601932</v>
      </c>
      <c r="AI197" s="128">
        <f t="shared" si="464"/>
        <v>-1.8919693120980767</v>
      </c>
      <c r="AJ197" s="128">
        <f t="shared" si="451"/>
        <v>-0.26844106649615185</v>
      </c>
      <c r="AK197" s="128">
        <f t="shared" si="465"/>
        <v>3.8517608706530808</v>
      </c>
      <c r="AL197" s="59"/>
      <c r="AM197" s="134">
        <f t="shared" si="477"/>
        <v>0</v>
      </c>
      <c r="AN197" s="135">
        <f t="shared" si="478"/>
        <v>2.3292841730526037E-2</v>
      </c>
      <c r="AO197" s="135">
        <f t="shared" si="479"/>
        <v>-4.5689122859068565E-2</v>
      </c>
      <c r="AP197" s="134">
        <f t="shared" si="480"/>
        <v>-2.4159859404138118E-3</v>
      </c>
      <c r="AQ197" s="134">
        <f t="shared" si="481"/>
        <v>6.4196014510884636E-2</v>
      </c>
    </row>
    <row r="198" spans="1:43">
      <c r="A198" s="12"/>
      <c r="B198" s="5"/>
      <c r="C198" s="13"/>
      <c r="D198" s="5"/>
      <c r="E198" s="5"/>
      <c r="F198" s="5"/>
      <c r="G198" s="5"/>
      <c r="H198" s="13"/>
      <c r="I198" s="104"/>
      <c r="J198" s="13"/>
      <c r="K198" s="13"/>
      <c r="L198" s="13"/>
      <c r="M198" s="45"/>
      <c r="N198" s="13"/>
      <c r="O198" s="13"/>
      <c r="P198" s="103"/>
      <c r="Q198" s="5"/>
      <c r="R198" s="103"/>
      <c r="S198" s="13"/>
      <c r="T198" s="13"/>
      <c r="U198" s="13"/>
      <c r="V198" s="13"/>
      <c r="W198" s="13"/>
      <c r="X198" s="13"/>
      <c r="Y198" s="13"/>
      <c r="Z198" s="104"/>
      <c r="AA198" s="104"/>
      <c r="AB198" s="104"/>
      <c r="AC198" s="109"/>
      <c r="AD198" s="104"/>
      <c r="AE198" s="109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</row>
    <row r="199" spans="1:43" ht="15.75" thickBot="1">
      <c r="A199" s="87"/>
      <c r="B199" s="87"/>
      <c r="C199" s="100"/>
      <c r="D199" s="87"/>
      <c r="E199" s="87"/>
      <c r="F199" s="87"/>
      <c r="G199" s="87"/>
      <c r="H199" s="100"/>
      <c r="I199" s="101"/>
      <c r="J199" s="100"/>
      <c r="K199" s="100"/>
      <c r="L199" s="100"/>
      <c r="M199" s="112"/>
      <c r="N199" s="100"/>
      <c r="O199" s="100"/>
      <c r="P199" s="106"/>
      <c r="Q199" s="87"/>
      <c r="R199" s="106"/>
      <c r="S199" s="100"/>
      <c r="T199" s="100"/>
      <c r="U199" s="100"/>
      <c r="V199" s="100"/>
      <c r="W199" s="100"/>
      <c r="X199" s="100"/>
      <c r="Y199" s="100"/>
      <c r="Z199" s="101"/>
      <c r="AA199" s="101"/>
      <c r="AB199" s="101"/>
      <c r="AC199" s="113"/>
      <c r="AD199" s="101"/>
      <c r="AE199" s="113"/>
      <c r="AF199" s="87"/>
      <c r="AG199" s="87"/>
      <c r="AH199" s="87"/>
      <c r="AI199" s="87"/>
      <c r="AJ199" s="87"/>
      <c r="AK199" s="87"/>
      <c r="AL199" s="87"/>
      <c r="AM199" s="87"/>
      <c r="AN199" s="87"/>
      <c r="AO199" s="87"/>
      <c r="AP199" s="87"/>
      <c r="AQ199" s="87"/>
    </row>
    <row r="200" spans="1:43">
      <c r="A200" s="15" t="s">
        <v>79</v>
      </c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59"/>
      <c r="AB200" s="59"/>
      <c r="AC200" s="59"/>
      <c r="AD200" s="59"/>
      <c r="AE200" s="59"/>
      <c r="AF200" s="59"/>
      <c r="AG200" s="59" t="s">
        <v>110</v>
      </c>
      <c r="AH200" s="59"/>
      <c r="AI200" s="59"/>
      <c r="AJ200" s="59"/>
      <c r="AK200" s="59"/>
      <c r="AL200" s="59"/>
      <c r="AM200" s="59"/>
      <c r="AN200" s="59"/>
      <c r="AO200" s="59"/>
      <c r="AP200" s="59"/>
      <c r="AQ200" s="59"/>
    </row>
    <row r="201" spans="1:43">
      <c r="A201" s="2" t="s">
        <v>107</v>
      </c>
      <c r="B201" s="2"/>
      <c r="C201" s="2"/>
      <c r="D201" s="20"/>
      <c r="E201" s="60">
        <v>0.5</v>
      </c>
      <c r="F201" s="60">
        <v>0</v>
      </c>
      <c r="G201" s="59"/>
      <c r="H201" s="59"/>
      <c r="I201" s="59"/>
      <c r="J201" s="59"/>
      <c r="K201" s="59"/>
      <c r="L201" s="59"/>
      <c r="M201" s="59"/>
      <c r="N201" s="59"/>
      <c r="O201" s="59"/>
      <c r="P201" s="2"/>
      <c r="Q201" s="2"/>
      <c r="R201" s="2"/>
      <c r="S201" s="138"/>
      <c r="T201" s="138"/>
      <c r="U201" s="59"/>
      <c r="V201" s="59"/>
      <c r="W201" s="59"/>
      <c r="X201" s="59"/>
      <c r="Y201" s="59"/>
      <c r="Z201" s="59"/>
      <c r="AA201" s="59"/>
      <c r="AB201" s="59"/>
      <c r="AC201" s="59"/>
      <c r="AD201" s="59"/>
      <c r="AE201" s="59"/>
      <c r="AF201" s="59"/>
      <c r="AG201" s="59"/>
      <c r="AH201" s="59"/>
      <c r="AI201" s="59"/>
      <c r="AJ201" s="59"/>
      <c r="AK201" s="59"/>
      <c r="AL201" s="59"/>
      <c r="AM201" s="59" t="s">
        <v>111</v>
      </c>
      <c r="AN201" s="59"/>
      <c r="AO201" s="59"/>
      <c r="AP201" s="59"/>
      <c r="AQ201" s="59"/>
    </row>
    <row r="202" spans="1:43" ht="135">
      <c r="A202" s="35"/>
      <c r="B202" s="28" t="s">
        <v>12</v>
      </c>
      <c r="C202" s="28" t="s">
        <v>8</v>
      </c>
      <c r="D202" s="35"/>
      <c r="E202" s="28" t="s">
        <v>3</v>
      </c>
      <c r="F202" s="143" t="s">
        <v>4</v>
      </c>
      <c r="G202" s="65" t="s">
        <v>42</v>
      </c>
      <c r="H202" s="143" t="s">
        <v>49</v>
      </c>
      <c r="I202" s="66" t="s">
        <v>1</v>
      </c>
      <c r="J202" s="66" t="s">
        <v>6</v>
      </c>
      <c r="K202" s="66" t="s">
        <v>5</v>
      </c>
      <c r="L202" s="28" t="s">
        <v>41</v>
      </c>
      <c r="M202" s="66" t="s">
        <v>21</v>
      </c>
      <c r="N202" s="66" t="s">
        <v>20</v>
      </c>
      <c r="O202" s="66" t="s">
        <v>22</v>
      </c>
      <c r="P202" s="31" t="s">
        <v>49</v>
      </c>
      <c r="Q202" s="31" t="s">
        <v>9</v>
      </c>
      <c r="R202" s="28" t="s">
        <v>18</v>
      </c>
      <c r="S202" s="28" t="s">
        <v>19</v>
      </c>
      <c r="T202" s="73" t="s">
        <v>83</v>
      </c>
      <c r="U202" s="27"/>
      <c r="V202" s="27"/>
      <c r="W202" s="27"/>
      <c r="X202" s="35"/>
      <c r="Y202" s="35"/>
      <c r="Z202" s="35"/>
      <c r="AA202" s="35"/>
      <c r="AB202" s="35"/>
      <c r="AC202" s="35"/>
      <c r="AD202" s="35"/>
      <c r="AE202" s="35"/>
      <c r="AF202" s="35"/>
      <c r="AG202" s="28" t="str">
        <f>E202</f>
        <v>Inboard (cm)</v>
      </c>
      <c r="AH202" s="28" t="s">
        <v>113</v>
      </c>
      <c r="AI202" s="28" t="s">
        <v>114</v>
      </c>
      <c r="AJ202" s="28" t="s">
        <v>115</v>
      </c>
      <c r="AK202" s="28" t="str">
        <f>T202</f>
        <v>change in distance between handles (cm / cm)</v>
      </c>
      <c r="AL202" s="35"/>
      <c r="AM202" s="28" t="str">
        <f>AG202</f>
        <v>Inboard (cm)</v>
      </c>
      <c r="AN202" s="28" t="str">
        <f t="shared" ref="AN202:AQ202" si="489">AH202</f>
        <v>Change in catch angle (deg)</v>
      </c>
      <c r="AO202" s="28" t="str">
        <f t="shared" si="489"/>
        <v>Change in finish angle (deg)</v>
      </c>
      <c r="AP202" s="28" t="str">
        <f t="shared" si="489"/>
        <v>Change in sweep angle (deg)</v>
      </c>
      <c r="AQ202" s="28" t="str">
        <f t="shared" si="489"/>
        <v>change in distance between handles (cm / cm)</v>
      </c>
    </row>
    <row r="203" spans="1:43">
      <c r="A203" s="35"/>
      <c r="B203" s="20">
        <f>B$208</f>
        <v>183</v>
      </c>
      <c r="C203" s="18">
        <f t="shared" ref="C203:C207" si="490">100*(0.297865*B203/100+1.08387)</f>
        <v>162.89629500000001</v>
      </c>
      <c r="D203" s="35"/>
      <c r="E203" s="63">
        <f t="shared" ref="E203" si="491">5*E201+E208</f>
        <v>90.5</v>
      </c>
      <c r="F203" s="140">
        <f>5*F201+F208</f>
        <v>160</v>
      </c>
      <c r="G203" s="63">
        <f>F203-2*(E203+2)*COS(RADIANS(I203))</f>
        <v>18.401977414937022</v>
      </c>
      <c r="H203" s="140">
        <f>H$208</f>
        <v>59.529404498953284</v>
      </c>
      <c r="I203" s="69">
        <f t="shared" ref="I203:I213" si="492">DEGREES(ASIN(H203/(E203+2)))</f>
        <v>40.057879451681579</v>
      </c>
      <c r="J203" s="9">
        <f t="shared" ref="J203:J213" si="493">DEGREES(C203/(E203-6+2))</f>
        <v>107.8990774776649</v>
      </c>
      <c r="K203" s="9">
        <f t="shared" ref="K203:K213" si="494">J203-I203</f>
        <v>67.841198025983317</v>
      </c>
      <c r="L203" s="63">
        <f t="shared" ref="L203:L213" si="495">(E203+2)*2 -F203</f>
        <v>25</v>
      </c>
      <c r="M203" s="121">
        <f t="shared" ref="M203:M213" si="496">K203-K$208</f>
        <v>-1.8595394101984084</v>
      </c>
      <c r="N203" s="121">
        <f t="shared" ref="N203:O213" si="497">I203-I$208</f>
        <v>-1.3517426575892699</v>
      </c>
      <c r="O203" s="121">
        <f t="shared" si="497"/>
        <v>-3.2112820677876641</v>
      </c>
      <c r="P203" s="62">
        <f t="shared" ref="P203:P213" si="498">((F203-G203)/2)*TAN(RADIANS(I203))</f>
        <v>59.529404498953284</v>
      </c>
      <c r="Q203" s="62">
        <f t="shared" ref="Q203:Q207" si="499">P203-P$208</f>
        <v>0</v>
      </c>
      <c r="R203" s="61">
        <f t="shared" ref="R203:R213" si="500">(E203+2)*SIN(RADIANS(K203))</f>
        <v>85.668137639206208</v>
      </c>
      <c r="S203" s="61">
        <f t="shared" ref="S203:S213" si="501">(F203/2)- (E203+2)*COS(RADIANS(K203))</f>
        <v>45.111317115287655</v>
      </c>
      <c r="T203" s="61">
        <f t="shared" ref="T203:T213" si="502">G203-G$208</f>
        <v>-6.5980225850629779</v>
      </c>
      <c r="U203" s="27"/>
      <c r="V203" s="27"/>
      <c r="W203" s="27"/>
      <c r="X203" s="35"/>
      <c r="Y203" s="35"/>
      <c r="Z203" s="35"/>
      <c r="AA203" s="35"/>
      <c r="AB203" s="35"/>
      <c r="AC203" s="35"/>
      <c r="AD203" s="35"/>
      <c r="AE203" s="35"/>
      <c r="AF203" s="35"/>
      <c r="AG203" s="128">
        <f>E203</f>
        <v>90.5</v>
      </c>
      <c r="AH203" s="128">
        <f>M203</f>
        <v>-1.8595394101984084</v>
      </c>
      <c r="AI203" s="128">
        <f>N203</f>
        <v>-1.3517426575892699</v>
      </c>
      <c r="AJ203" s="128">
        <f t="shared" ref="AJ203:AJ213" si="503">O203</f>
        <v>-3.2112820677876641</v>
      </c>
      <c r="AK203" s="128">
        <f>T203</f>
        <v>-6.5980225850629779</v>
      </c>
      <c r="AL203" s="35"/>
      <c r="AM203" s="134">
        <f t="shared" ref="AM203:AM207" si="504">AG203/AG$208-1</f>
        <v>2.8409090909090828E-2</v>
      </c>
      <c r="AN203" s="135">
        <f t="shared" ref="AN203:AN207" si="505">K203/K$208-1</f>
        <v>-2.6678905827947852E-2</v>
      </c>
      <c r="AO203" s="135">
        <f t="shared" ref="AO203:AP207" si="506">I203/I$208-1</f>
        <v>-3.2643201959735801E-2</v>
      </c>
      <c r="AP203" s="135">
        <f t="shared" si="506"/>
        <v>-2.8901734104046395E-2</v>
      </c>
      <c r="AQ203" s="134">
        <f t="shared" ref="AQ203:AQ207" si="507">(Q203+60)/(Q$208+60) -1</f>
        <v>0</v>
      </c>
    </row>
    <row r="204" spans="1:43">
      <c r="A204" s="35"/>
      <c r="B204" s="20">
        <f>B$208</f>
        <v>183</v>
      </c>
      <c r="C204" s="18">
        <f t="shared" si="490"/>
        <v>162.89629500000001</v>
      </c>
      <c r="D204" s="35"/>
      <c r="E204" s="63">
        <f t="shared" ref="E204" si="508">4*E201+E208</f>
        <v>90</v>
      </c>
      <c r="F204" s="140">
        <f>4*F201+F208</f>
        <v>160</v>
      </c>
      <c r="G204" s="63">
        <f>F204-2*(E204+2)*COS(RADIANS(I204))</f>
        <v>19.711012549095642</v>
      </c>
      <c r="H204" s="140">
        <f t="shared" ref="H204:H207" si="509">H$208</f>
        <v>59.529404498953284</v>
      </c>
      <c r="I204" s="69">
        <f t="shared" si="492"/>
        <v>40.320209135121658</v>
      </c>
      <c r="J204" s="9">
        <f t="shared" si="493"/>
        <v>108.52639769555832</v>
      </c>
      <c r="K204" s="9">
        <f t="shared" si="494"/>
        <v>68.206188560436658</v>
      </c>
      <c r="L204" s="63">
        <f t="shared" si="495"/>
        <v>24</v>
      </c>
      <c r="M204" s="121">
        <f t="shared" si="496"/>
        <v>-1.4945488757450676</v>
      </c>
      <c r="N204" s="121">
        <f t="shared" si="497"/>
        <v>-1.0894129741491909</v>
      </c>
      <c r="O204" s="121">
        <f t="shared" si="497"/>
        <v>-2.5839618498942514</v>
      </c>
      <c r="P204" s="62">
        <f t="shared" si="498"/>
        <v>59.529404498953291</v>
      </c>
      <c r="Q204" s="62">
        <f t="shared" si="499"/>
        <v>0</v>
      </c>
      <c r="R204" s="61">
        <f t="shared" si="500"/>
        <v>85.424385853051547</v>
      </c>
      <c r="S204" s="61">
        <f t="shared" si="501"/>
        <v>45.843385682580198</v>
      </c>
      <c r="T204" s="61">
        <f t="shared" si="502"/>
        <v>-5.288987450904358</v>
      </c>
      <c r="U204" s="27"/>
      <c r="V204" s="27"/>
      <c r="W204" s="27"/>
      <c r="X204" s="35"/>
      <c r="Y204" s="35"/>
      <c r="Z204" s="35"/>
      <c r="AA204" s="35"/>
      <c r="AB204" s="35"/>
      <c r="AC204" s="35"/>
      <c r="AD204" s="35"/>
      <c r="AE204" s="35"/>
      <c r="AF204" s="35"/>
      <c r="AG204" s="128">
        <f t="shared" ref="AG204:AG213" si="510">E204</f>
        <v>90</v>
      </c>
      <c r="AH204" s="128">
        <f t="shared" ref="AH204:AI213" si="511">M204</f>
        <v>-1.4945488757450676</v>
      </c>
      <c r="AI204" s="128">
        <f t="shared" si="511"/>
        <v>-1.0894129741491909</v>
      </c>
      <c r="AJ204" s="128">
        <f t="shared" si="503"/>
        <v>-2.5839618498942514</v>
      </c>
      <c r="AK204" s="128">
        <f t="shared" ref="AK204:AK213" si="512">T204</f>
        <v>-5.288987450904358</v>
      </c>
      <c r="AL204" s="35"/>
      <c r="AM204" s="134">
        <f t="shared" si="504"/>
        <v>2.2727272727272707E-2</v>
      </c>
      <c r="AN204" s="135">
        <f t="shared" si="505"/>
        <v>-2.1442368197516992E-2</v>
      </c>
      <c r="AO204" s="135">
        <f t="shared" si="506"/>
        <v>-2.6308208543281864E-2</v>
      </c>
      <c r="AP204" s="135">
        <f t="shared" si="506"/>
        <v>-2.3255813953488413E-2</v>
      </c>
      <c r="AQ204" s="134">
        <f t="shared" si="507"/>
        <v>0</v>
      </c>
    </row>
    <row r="205" spans="1:43">
      <c r="A205" s="35"/>
      <c r="B205" s="20">
        <f>B$208</f>
        <v>183</v>
      </c>
      <c r="C205" s="18">
        <f t="shared" si="490"/>
        <v>162.89629500000001</v>
      </c>
      <c r="D205" s="35"/>
      <c r="E205" s="63">
        <f t="shared" ref="E205" si="513">3*E201+E208</f>
        <v>89.5</v>
      </c>
      <c r="F205" s="140">
        <f>3*F201+F208</f>
        <v>160</v>
      </c>
      <c r="G205" s="63">
        <f>F205-2*(E205+2)*COS(RADIANS(I205))</f>
        <v>21.025182137194349</v>
      </c>
      <c r="H205" s="140">
        <f t="shared" si="509"/>
        <v>59.529404498953284</v>
      </c>
      <c r="I205" s="69">
        <f t="shared" si="492"/>
        <v>40.586446023621605</v>
      </c>
      <c r="J205" s="9">
        <f t="shared" si="493"/>
        <v>109.16105499202357</v>
      </c>
      <c r="K205" s="9">
        <f t="shared" si="494"/>
        <v>68.574608968401961</v>
      </c>
      <c r="L205" s="63">
        <f t="shared" si="495"/>
        <v>23</v>
      </c>
      <c r="M205" s="121">
        <f t="shared" si="496"/>
        <v>-1.1261284677797647</v>
      </c>
      <c r="N205" s="121">
        <f t="shared" si="497"/>
        <v>-0.82317608564924427</v>
      </c>
      <c r="O205" s="121">
        <f t="shared" si="497"/>
        <v>-1.9493045534290019</v>
      </c>
      <c r="P205" s="62">
        <f t="shared" si="498"/>
        <v>59.529404498953284</v>
      </c>
      <c r="Q205" s="62">
        <f t="shared" si="499"/>
        <v>0</v>
      </c>
      <c r="R205" s="61">
        <f t="shared" si="500"/>
        <v>85.176803443538816</v>
      </c>
      <c r="S205" s="61">
        <f t="shared" si="501"/>
        <v>46.576024246945806</v>
      </c>
      <c r="T205" s="61">
        <f t="shared" si="502"/>
        <v>-3.9748178628056507</v>
      </c>
      <c r="U205" s="27"/>
      <c r="V205" s="27"/>
      <c r="W205" s="27"/>
      <c r="X205" s="35"/>
      <c r="Y205" s="35"/>
      <c r="Z205" s="35"/>
      <c r="AA205" s="35"/>
      <c r="AB205" s="35"/>
      <c r="AC205" s="35"/>
      <c r="AD205" s="35"/>
      <c r="AE205" s="35"/>
      <c r="AF205" s="35"/>
      <c r="AG205" s="128">
        <f t="shared" si="510"/>
        <v>89.5</v>
      </c>
      <c r="AH205" s="128">
        <f t="shared" si="511"/>
        <v>-1.1261284677797647</v>
      </c>
      <c r="AI205" s="128">
        <f t="shared" si="511"/>
        <v>-0.82317608564924427</v>
      </c>
      <c r="AJ205" s="128">
        <f t="shared" si="503"/>
        <v>-1.9493045534290019</v>
      </c>
      <c r="AK205" s="128">
        <f t="shared" si="512"/>
        <v>-3.9748178628056507</v>
      </c>
      <c r="AL205" s="35"/>
      <c r="AM205" s="134">
        <f t="shared" si="504"/>
        <v>1.7045454545454586E-2</v>
      </c>
      <c r="AN205" s="135">
        <f t="shared" si="505"/>
        <v>-1.6156621998595799E-2</v>
      </c>
      <c r="AO205" s="135">
        <f t="shared" si="506"/>
        <v>-1.9878860122825137E-2</v>
      </c>
      <c r="AP205" s="135">
        <f t="shared" si="506"/>
        <v>-1.7543859649122862E-2</v>
      </c>
      <c r="AQ205" s="134">
        <f t="shared" si="507"/>
        <v>0</v>
      </c>
    </row>
    <row r="206" spans="1:43">
      <c r="A206" s="35"/>
      <c r="B206" s="20">
        <f>B$208</f>
        <v>183</v>
      </c>
      <c r="C206" s="18">
        <f t="shared" si="490"/>
        <v>162.89629500000001</v>
      </c>
      <c r="D206" s="35"/>
      <c r="E206" s="63">
        <f t="shared" ref="E206" si="514">2*E201+E208</f>
        <v>89</v>
      </c>
      <c r="F206" s="140">
        <f>2*F201+F208</f>
        <v>160</v>
      </c>
      <c r="G206" s="63">
        <f>F206-2*(E206+2)*COS(RADIANS(I206))</f>
        <v>22.344633232118383</v>
      </c>
      <c r="H206" s="140">
        <f t="shared" si="509"/>
        <v>59.529404498953284</v>
      </c>
      <c r="I206" s="69">
        <f t="shared" si="492"/>
        <v>40.856690357247814</v>
      </c>
      <c r="J206" s="9">
        <f t="shared" si="493"/>
        <v>109.80317884491782</v>
      </c>
      <c r="K206" s="9">
        <f t="shared" si="494"/>
        <v>68.94648848767001</v>
      </c>
      <c r="L206" s="63">
        <f t="shared" si="495"/>
        <v>22</v>
      </c>
      <c r="M206" s="121">
        <f t="shared" si="496"/>
        <v>-0.75424894851171587</v>
      </c>
      <c r="N206" s="121">
        <f t="shared" si="497"/>
        <v>-0.55293175202303502</v>
      </c>
      <c r="O206" s="121">
        <f t="shared" si="497"/>
        <v>-1.3071807005347438</v>
      </c>
      <c r="P206" s="62">
        <f t="shared" si="498"/>
        <v>59.529404498953291</v>
      </c>
      <c r="Q206" s="62">
        <f t="shared" si="499"/>
        <v>0</v>
      </c>
      <c r="R206" s="61">
        <f t="shared" si="500"/>
        <v>84.925324200926994</v>
      </c>
      <c r="S206" s="61">
        <f t="shared" si="501"/>
        <v>47.309186162356831</v>
      </c>
      <c r="T206" s="61">
        <f t="shared" si="502"/>
        <v>-2.6553667678816169</v>
      </c>
      <c r="U206" s="27"/>
      <c r="V206" s="27"/>
      <c r="W206" s="27"/>
      <c r="X206" s="35"/>
      <c r="Y206" s="35"/>
      <c r="Z206" s="35"/>
      <c r="AA206" s="35"/>
      <c r="AB206" s="35"/>
      <c r="AC206" s="35"/>
      <c r="AD206" s="35"/>
      <c r="AE206" s="35"/>
      <c r="AF206" s="35"/>
      <c r="AG206" s="128">
        <f t="shared" si="510"/>
        <v>89</v>
      </c>
      <c r="AH206" s="128">
        <f t="shared" si="511"/>
        <v>-0.75424894851171587</v>
      </c>
      <c r="AI206" s="128">
        <f t="shared" si="511"/>
        <v>-0.55293175202303502</v>
      </c>
      <c r="AJ206" s="128">
        <f t="shared" si="503"/>
        <v>-1.3071807005347438</v>
      </c>
      <c r="AK206" s="128">
        <f t="shared" si="512"/>
        <v>-2.6553667678816169</v>
      </c>
      <c r="AL206" s="35"/>
      <c r="AM206" s="134">
        <f t="shared" si="504"/>
        <v>1.1363636363636465E-2</v>
      </c>
      <c r="AN206" s="135">
        <f t="shared" si="505"/>
        <v>-1.0821247755123276E-2</v>
      </c>
      <c r="AO206" s="135">
        <f t="shared" si="506"/>
        <v>-1.3352736003336863E-2</v>
      </c>
      <c r="AP206" s="135">
        <f t="shared" si="506"/>
        <v>-1.176470588235301E-2</v>
      </c>
      <c r="AQ206" s="134">
        <f t="shared" si="507"/>
        <v>0</v>
      </c>
    </row>
    <row r="207" spans="1:43">
      <c r="A207" s="35"/>
      <c r="B207" s="20">
        <f>B$208</f>
        <v>183</v>
      </c>
      <c r="C207" s="18">
        <f t="shared" si="490"/>
        <v>162.89629500000001</v>
      </c>
      <c r="D207" s="35"/>
      <c r="E207" s="63">
        <f t="shared" ref="E207" si="515">E208+E201</f>
        <v>88.5</v>
      </c>
      <c r="F207" s="140">
        <f>F208+F201</f>
        <v>160</v>
      </c>
      <c r="G207" s="63">
        <f>F207-2*(E207+2)*COS(RADIANS(I207))</f>
        <v>23.669519182245978</v>
      </c>
      <c r="H207" s="140">
        <f t="shared" si="509"/>
        <v>59.529404498953284</v>
      </c>
      <c r="I207" s="69">
        <f t="shared" si="492"/>
        <v>41.131046291041493</v>
      </c>
      <c r="J207" s="9">
        <f t="shared" si="493"/>
        <v>110.4529017966629</v>
      </c>
      <c r="K207" s="9">
        <f t="shared" si="494"/>
        <v>69.321855505621414</v>
      </c>
      <c r="L207" s="63">
        <f t="shared" si="495"/>
        <v>21</v>
      </c>
      <c r="M207" s="121">
        <f t="shared" si="496"/>
        <v>-0.37888193056031128</v>
      </c>
      <c r="N207" s="121">
        <f t="shared" si="497"/>
        <v>-0.27857581822935629</v>
      </c>
      <c r="O207" s="121">
        <f t="shared" si="497"/>
        <v>-0.65745774878966756</v>
      </c>
      <c r="P207" s="62">
        <f t="shared" si="498"/>
        <v>59.529404498953291</v>
      </c>
      <c r="Q207" s="62">
        <f t="shared" si="499"/>
        <v>0</v>
      </c>
      <c r="R207" s="61">
        <f t="shared" si="500"/>
        <v>84.669881032427071</v>
      </c>
      <c r="S207" s="61">
        <f t="shared" si="501"/>
        <v>48.042821683467636</v>
      </c>
      <c r="T207" s="61">
        <f t="shared" si="502"/>
        <v>-1.3304808177540224</v>
      </c>
      <c r="U207" s="27"/>
      <c r="V207" s="27"/>
      <c r="W207" s="27"/>
      <c r="X207" s="35"/>
      <c r="Y207" s="35"/>
      <c r="Z207" s="35"/>
      <c r="AA207" s="35"/>
      <c r="AB207" s="35"/>
      <c r="AC207" s="35"/>
      <c r="AD207" s="35"/>
      <c r="AE207" s="35"/>
      <c r="AF207" s="35"/>
      <c r="AG207" s="128">
        <f t="shared" si="510"/>
        <v>88.5</v>
      </c>
      <c r="AH207" s="128">
        <f t="shared" si="511"/>
        <v>-0.37888193056031128</v>
      </c>
      <c r="AI207" s="128">
        <f t="shared" si="511"/>
        <v>-0.27857581822935629</v>
      </c>
      <c r="AJ207" s="128">
        <f t="shared" si="503"/>
        <v>-0.65745774878966756</v>
      </c>
      <c r="AK207" s="128">
        <f t="shared" si="512"/>
        <v>-1.3304808177540224</v>
      </c>
      <c r="AL207" s="35"/>
      <c r="AM207" s="134">
        <f t="shared" si="504"/>
        <v>5.6818181818181213E-3</v>
      </c>
      <c r="AN207" s="135">
        <f t="shared" si="505"/>
        <v>-5.4358381919160648E-3</v>
      </c>
      <c r="AO207" s="135">
        <f t="shared" si="506"/>
        <v>-6.7273209471522266E-3</v>
      </c>
      <c r="AP207" s="135">
        <f t="shared" si="506"/>
        <v>-5.9171597633136397E-3</v>
      </c>
      <c r="AQ207" s="134">
        <f t="shared" si="507"/>
        <v>0</v>
      </c>
    </row>
    <row r="208" spans="1:43">
      <c r="A208" s="59"/>
      <c r="B208" s="60">
        <v>183</v>
      </c>
      <c r="C208" s="18">
        <f>100*(0.297865*B208/100+1.08387)</f>
        <v>162.89629500000001</v>
      </c>
      <c r="D208" s="59"/>
      <c r="E208" s="72">
        <v>88</v>
      </c>
      <c r="F208" s="72">
        <v>160</v>
      </c>
      <c r="G208" s="78">
        <v>25</v>
      </c>
      <c r="H208" s="72">
        <f>((F208-G208)/2)*(TAN(ACOS(((F208-G208)/2)/(E208+2))))</f>
        <v>59.529404498953284</v>
      </c>
      <c r="I208" s="69">
        <f t="shared" si="492"/>
        <v>41.409622109270849</v>
      </c>
      <c r="J208" s="9">
        <f t="shared" si="493"/>
        <v>111.11035954545257</v>
      </c>
      <c r="K208" s="9">
        <f t="shared" si="494"/>
        <v>69.700737436181726</v>
      </c>
      <c r="L208" s="63">
        <f t="shared" si="495"/>
        <v>20</v>
      </c>
      <c r="M208" s="121">
        <f t="shared" si="496"/>
        <v>0</v>
      </c>
      <c r="N208" s="121">
        <f t="shared" si="497"/>
        <v>0</v>
      </c>
      <c r="O208" s="121">
        <f>J208-J$208</f>
        <v>0</v>
      </c>
      <c r="P208" s="62">
        <f t="shared" si="498"/>
        <v>59.529404498953269</v>
      </c>
      <c r="Q208" s="62">
        <f>P208-P$208</f>
        <v>0</v>
      </c>
      <c r="R208" s="61">
        <f t="shared" si="500"/>
        <v>84.410405985170343</v>
      </c>
      <c r="S208" s="61">
        <f t="shared" si="501"/>
        <v>48.776877775937912</v>
      </c>
      <c r="T208" s="61">
        <f t="shared" si="502"/>
        <v>0</v>
      </c>
      <c r="U208" s="59"/>
      <c r="V208" s="59"/>
      <c r="W208" s="59"/>
      <c r="X208" s="59"/>
      <c r="Y208" s="59"/>
      <c r="Z208" s="59"/>
      <c r="AA208" s="59"/>
      <c r="AB208" s="59"/>
      <c r="AC208" s="59"/>
      <c r="AD208" s="59"/>
      <c r="AE208" s="59"/>
      <c r="AF208" s="59"/>
      <c r="AG208" s="128">
        <f t="shared" si="510"/>
        <v>88</v>
      </c>
      <c r="AH208" s="128">
        <f t="shared" si="511"/>
        <v>0</v>
      </c>
      <c r="AI208" s="128">
        <f t="shared" si="511"/>
        <v>0</v>
      </c>
      <c r="AJ208" s="128">
        <f t="shared" si="503"/>
        <v>0</v>
      </c>
      <c r="AK208" s="128">
        <f t="shared" si="512"/>
        <v>0</v>
      </c>
      <c r="AL208" s="59"/>
      <c r="AM208" s="134">
        <f>AG208/AG$208-1</f>
        <v>0</v>
      </c>
      <c r="AN208" s="135">
        <f>K208/K$208-1</f>
        <v>0</v>
      </c>
      <c r="AO208" s="135">
        <f>I208/I$208-1</f>
        <v>0</v>
      </c>
      <c r="AP208" s="135">
        <f>J208/J$208-1</f>
        <v>0</v>
      </c>
      <c r="AQ208" s="134">
        <f>(Q208+60)/(Q$208+60) -1</f>
        <v>0</v>
      </c>
    </row>
    <row r="209" spans="1:43">
      <c r="A209" s="59"/>
      <c r="B209" s="20">
        <f>B$208</f>
        <v>183</v>
      </c>
      <c r="C209" s="18">
        <f t="shared" ref="C209:C213" si="516">100*(0.297865*B209/100+1.08387)</f>
        <v>162.89629500000001</v>
      </c>
      <c r="D209" s="59"/>
      <c r="E209" s="63">
        <f t="shared" ref="E209" si="517">E208-E201</f>
        <v>87.5</v>
      </c>
      <c r="F209" s="140">
        <f>F208-F201</f>
        <v>160</v>
      </c>
      <c r="G209" s="63">
        <f>F209-2*(E209+2)*COS(RADIANS(I209))</f>
        <v>26.336242758180703</v>
      </c>
      <c r="H209" s="140">
        <f>H$208</f>
        <v>59.529404498953284</v>
      </c>
      <c r="I209" s="69">
        <f t="shared" si="492"/>
        <v>41.692530455105114</v>
      </c>
      <c r="J209" s="9">
        <f t="shared" si="493"/>
        <v>111.77569103973671</v>
      </c>
      <c r="K209" s="9">
        <f t="shared" si="494"/>
        <v>70.083160584631599</v>
      </c>
      <c r="L209" s="63">
        <f t="shared" si="495"/>
        <v>19</v>
      </c>
      <c r="M209" s="121">
        <f t="shared" si="496"/>
        <v>0.38242314844987391</v>
      </c>
      <c r="N209" s="121">
        <f t="shared" si="497"/>
        <v>0.28290834583426516</v>
      </c>
      <c r="O209" s="121">
        <f t="shared" si="497"/>
        <v>0.66533149428414617</v>
      </c>
      <c r="P209" s="62">
        <f t="shared" si="498"/>
        <v>59.529404498953291</v>
      </c>
      <c r="Q209" s="62">
        <f t="shared" ref="Q209:Q213" si="518">P209-P$208</f>
        <v>0</v>
      </c>
      <c r="R209" s="61">
        <f t="shared" si="500"/>
        <v>84.146830273429373</v>
      </c>
      <c r="S209" s="61">
        <f t="shared" si="501"/>
        <v>49.511297913248754</v>
      </c>
      <c r="T209" s="61">
        <f t="shared" si="502"/>
        <v>1.3362427581807026</v>
      </c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128">
        <f t="shared" si="510"/>
        <v>87.5</v>
      </c>
      <c r="AH209" s="128">
        <f t="shared" si="511"/>
        <v>0.38242314844987391</v>
      </c>
      <c r="AI209" s="128">
        <f t="shared" si="511"/>
        <v>0.28290834583426516</v>
      </c>
      <c r="AJ209" s="128">
        <f t="shared" si="503"/>
        <v>0.66533149428414617</v>
      </c>
      <c r="AK209" s="128">
        <f t="shared" si="512"/>
        <v>1.3362427581807026</v>
      </c>
      <c r="AL209" s="59"/>
      <c r="AM209" s="134">
        <f t="shared" ref="AM209:AM213" si="519">AG209/AG$208-1</f>
        <v>-5.6818181818182323E-3</v>
      </c>
      <c r="AN209" s="135">
        <f t="shared" ref="AN209:AN213" si="520">K209/K$208-1</f>
        <v>5.4866442238150626E-3</v>
      </c>
      <c r="AO209" s="135">
        <f t="shared" ref="AO209:AP213" si="521">I209/I$208-1</f>
        <v>6.8319470553903638E-3</v>
      </c>
      <c r="AP209" s="135">
        <f t="shared" si="521"/>
        <v>5.9880239520957446E-3</v>
      </c>
      <c r="AQ209" s="134">
        <f t="shared" ref="AQ209:AQ213" si="522">(Q209+60)/(Q$208+60) -1</f>
        <v>0</v>
      </c>
    </row>
    <row r="210" spans="1:43">
      <c r="A210" s="59"/>
      <c r="B210" s="20">
        <f>B$208</f>
        <v>183</v>
      </c>
      <c r="C210" s="18">
        <f t="shared" si="516"/>
        <v>162.89629500000001</v>
      </c>
      <c r="D210" s="59"/>
      <c r="E210" s="63">
        <f t="shared" ref="E210" si="523">E208-2*E201</f>
        <v>87</v>
      </c>
      <c r="F210" s="140">
        <f>F208-2*F201</f>
        <v>160</v>
      </c>
      <c r="G210" s="63">
        <f>F210-2*(E210+2)*COS(RADIANS(I210))</f>
        <v>27.678422016664257</v>
      </c>
      <c r="H210" s="140">
        <f t="shared" ref="H210:H213" si="524">H$208</f>
        <v>59.529404498953284</v>
      </c>
      <c r="I210" s="69">
        <f t="shared" si="492"/>
        <v>41.979888577101427</v>
      </c>
      <c r="J210" s="9">
        <f t="shared" si="493"/>
        <v>112.44903857612067</v>
      </c>
      <c r="K210" s="9">
        <f t="shared" si="494"/>
        <v>70.469149999019237</v>
      </c>
      <c r="L210" s="63">
        <f t="shared" si="495"/>
        <v>18</v>
      </c>
      <c r="M210" s="121">
        <f t="shared" si="496"/>
        <v>0.76841256283751136</v>
      </c>
      <c r="N210" s="121">
        <f t="shared" si="497"/>
        <v>0.57026646783057799</v>
      </c>
      <c r="O210" s="121">
        <f t="shared" si="497"/>
        <v>1.3386790306681036</v>
      </c>
      <c r="P210" s="62">
        <f t="shared" si="498"/>
        <v>59.529404498953284</v>
      </c>
      <c r="Q210" s="62">
        <f t="shared" si="518"/>
        <v>0</v>
      </c>
      <c r="R210" s="61">
        <f t="shared" si="500"/>
        <v>83.8790843105389</v>
      </c>
      <c r="S210" s="61">
        <f t="shared" si="501"/>
        <v>50.246021858825237</v>
      </c>
      <c r="T210" s="61">
        <f t="shared" si="502"/>
        <v>2.6784220166642569</v>
      </c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128">
        <f t="shared" si="510"/>
        <v>87</v>
      </c>
      <c r="AH210" s="128">
        <f t="shared" si="511"/>
        <v>0.76841256283751136</v>
      </c>
      <c r="AI210" s="128">
        <f t="shared" si="511"/>
        <v>0.57026646783057799</v>
      </c>
      <c r="AJ210" s="128">
        <f t="shared" si="503"/>
        <v>1.3386790306681036</v>
      </c>
      <c r="AK210" s="128">
        <f t="shared" si="512"/>
        <v>2.6784220166642569</v>
      </c>
      <c r="AL210" s="59"/>
      <c r="AM210" s="134">
        <f t="shared" si="519"/>
        <v>-1.1363636363636354E-2</v>
      </c>
      <c r="AN210" s="135">
        <f t="shared" si="520"/>
        <v>1.1024453845141391E-2</v>
      </c>
      <c r="AO210" s="135">
        <f t="shared" si="521"/>
        <v>1.3771351651695074E-2</v>
      </c>
      <c r="AP210" s="135">
        <f t="shared" si="521"/>
        <v>1.2048192771084265E-2</v>
      </c>
      <c r="AQ210" s="134">
        <f t="shared" si="522"/>
        <v>0</v>
      </c>
    </row>
    <row r="211" spans="1:43">
      <c r="A211" s="59"/>
      <c r="B211" s="20">
        <f>B$208</f>
        <v>183</v>
      </c>
      <c r="C211" s="18">
        <f t="shared" si="516"/>
        <v>162.89629500000001</v>
      </c>
      <c r="D211" s="59"/>
      <c r="E211" s="63">
        <f t="shared" ref="E211" si="525">E208-3*E201</f>
        <v>86.5</v>
      </c>
      <c r="F211" s="140">
        <f>F208-3*F201</f>
        <v>160</v>
      </c>
      <c r="G211" s="63">
        <f>F211-2*(E211+2)*COS(RADIANS(I211))</f>
        <v>29.026720282341529</v>
      </c>
      <c r="H211" s="140">
        <f t="shared" si="524"/>
        <v>59.529404498953284</v>
      </c>
      <c r="I211" s="69">
        <f t="shared" si="492"/>
        <v>42.271818594048675</v>
      </c>
      <c r="J211" s="9">
        <f t="shared" si="493"/>
        <v>113.13054790082442</v>
      </c>
      <c r="K211" s="9">
        <f t="shared" si="494"/>
        <v>70.858729306775757</v>
      </c>
      <c r="L211" s="63">
        <f t="shared" si="495"/>
        <v>17</v>
      </c>
      <c r="M211" s="121">
        <f t="shared" si="496"/>
        <v>1.1579918705940315</v>
      </c>
      <c r="N211" s="121">
        <f t="shared" si="497"/>
        <v>0.86219648477782584</v>
      </c>
      <c r="O211" s="121">
        <f t="shared" si="497"/>
        <v>2.0201883553718574</v>
      </c>
      <c r="P211" s="62">
        <f t="shared" si="498"/>
        <v>59.529404498953291</v>
      </c>
      <c r="Q211" s="62">
        <f t="shared" si="518"/>
        <v>0</v>
      </c>
      <c r="R211" s="61">
        <f t="shared" si="500"/>
        <v>83.607097746009231</v>
      </c>
      <c r="S211" s="61">
        <f t="shared" si="501"/>
        <v>50.980985432147115</v>
      </c>
      <c r="T211" s="61">
        <f t="shared" si="502"/>
        <v>4.0267202823415289</v>
      </c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59"/>
      <c r="AF211" s="59"/>
      <c r="AG211" s="128">
        <f t="shared" si="510"/>
        <v>86.5</v>
      </c>
      <c r="AH211" s="128">
        <f t="shared" si="511"/>
        <v>1.1579918705940315</v>
      </c>
      <c r="AI211" s="128">
        <f t="shared" si="511"/>
        <v>0.86219648477782584</v>
      </c>
      <c r="AJ211" s="128">
        <f t="shared" si="503"/>
        <v>2.0201883553718574</v>
      </c>
      <c r="AK211" s="128">
        <f t="shared" si="512"/>
        <v>4.0267202823415289</v>
      </c>
      <c r="AL211" s="59"/>
      <c r="AM211" s="134">
        <f t="shared" si="519"/>
        <v>-1.7045454545454586E-2</v>
      </c>
      <c r="AN211" s="135">
        <f t="shared" si="520"/>
        <v>1.6613767847927008E-2</v>
      </c>
      <c r="AO211" s="135">
        <f t="shared" si="521"/>
        <v>2.0821162832703077E-2</v>
      </c>
      <c r="AP211" s="135">
        <f t="shared" si="521"/>
        <v>1.8181818181818077E-2</v>
      </c>
      <c r="AQ211" s="134">
        <f t="shared" si="522"/>
        <v>0</v>
      </c>
    </row>
    <row r="212" spans="1:43">
      <c r="A212" s="59"/>
      <c r="B212" s="20">
        <f>B$208</f>
        <v>183</v>
      </c>
      <c r="C212" s="18">
        <f t="shared" si="516"/>
        <v>162.89629500000001</v>
      </c>
      <c r="D212" s="59"/>
      <c r="E212" s="63">
        <f t="shared" ref="E212" si="526">E208-4*E201</f>
        <v>86</v>
      </c>
      <c r="F212" s="140">
        <f>F208-4*F201</f>
        <v>160</v>
      </c>
      <c r="G212" s="63">
        <f>F212-2*(E212+2)*COS(RADIANS(I212))</f>
        <v>30.381328505496555</v>
      </c>
      <c r="H212" s="140">
        <f t="shared" si="524"/>
        <v>59.529404498953284</v>
      </c>
      <c r="I212" s="69">
        <f t="shared" si="492"/>
        <v>42.568447779882817</v>
      </c>
      <c r="J212" s="9">
        <f t="shared" si="493"/>
        <v>113.82036831485384</v>
      </c>
      <c r="K212" s="9">
        <f t="shared" si="494"/>
        <v>71.251920534971021</v>
      </c>
      <c r="L212" s="63">
        <f t="shared" si="495"/>
        <v>16</v>
      </c>
      <c r="M212" s="121">
        <f t="shared" si="496"/>
        <v>1.5511830987892949</v>
      </c>
      <c r="N212" s="121">
        <f t="shared" si="497"/>
        <v>1.158825670611968</v>
      </c>
      <c r="O212" s="121">
        <f t="shared" si="497"/>
        <v>2.71000876940127</v>
      </c>
      <c r="P212" s="62">
        <f t="shared" si="498"/>
        <v>59.529404498953291</v>
      </c>
      <c r="Q212" s="62">
        <f t="shared" si="518"/>
        <v>0</v>
      </c>
      <c r="R212" s="61">
        <f t="shared" si="500"/>
        <v>83.330799508377112</v>
      </c>
      <c r="S212" s="61">
        <f t="shared" si="501"/>
        <v>51.716120257385882</v>
      </c>
      <c r="T212" s="61">
        <f t="shared" si="502"/>
        <v>5.3813285054965547</v>
      </c>
      <c r="U212" s="59"/>
      <c r="V212" s="59"/>
      <c r="W212" s="59"/>
      <c r="X212" s="59"/>
      <c r="Y212" s="59"/>
      <c r="Z212" s="59"/>
      <c r="AA212" s="59"/>
      <c r="AB212" s="59"/>
      <c r="AC212" s="59"/>
      <c r="AD212" s="59"/>
      <c r="AE212" s="59"/>
      <c r="AF212" s="59"/>
      <c r="AG212" s="128">
        <f t="shared" si="510"/>
        <v>86</v>
      </c>
      <c r="AH212" s="128">
        <f t="shared" si="511"/>
        <v>1.5511830987892949</v>
      </c>
      <c r="AI212" s="128">
        <f t="shared" si="511"/>
        <v>1.158825670611968</v>
      </c>
      <c r="AJ212" s="128">
        <f t="shared" si="503"/>
        <v>2.71000876940127</v>
      </c>
      <c r="AK212" s="128">
        <f t="shared" si="512"/>
        <v>5.3813285054965547</v>
      </c>
      <c r="AL212" s="59"/>
      <c r="AM212" s="134">
        <f t="shared" si="519"/>
        <v>-2.2727272727272707E-2</v>
      </c>
      <c r="AN212" s="135">
        <f t="shared" si="520"/>
        <v>2.2254902255654851E-2</v>
      </c>
      <c r="AO212" s="135">
        <f t="shared" si="521"/>
        <v>2.7984454133729741E-2</v>
      </c>
      <c r="AP212" s="135">
        <f t="shared" si="521"/>
        <v>2.4390243902438824E-2</v>
      </c>
      <c r="AQ212" s="134">
        <f t="shared" si="522"/>
        <v>0</v>
      </c>
    </row>
    <row r="213" spans="1:43">
      <c r="A213" s="59"/>
      <c r="B213" s="20">
        <f>B$208</f>
        <v>183</v>
      </c>
      <c r="C213" s="18">
        <f t="shared" si="516"/>
        <v>162.89629500000001</v>
      </c>
      <c r="D213" s="59"/>
      <c r="E213" s="63">
        <f t="shared" ref="E213" si="527">E208-5*E201</f>
        <v>85.5</v>
      </c>
      <c r="F213" s="140">
        <f>F208-5*F201</f>
        <v>160</v>
      </c>
      <c r="G213" s="63">
        <f>F213-2*(E213+2)*COS(RADIANS(I213))</f>
        <v>31.742446616193376</v>
      </c>
      <c r="H213" s="140">
        <f t="shared" si="524"/>
        <v>59.529404498953284</v>
      </c>
      <c r="I213" s="69">
        <f t="shared" si="492"/>
        <v>42.869908870582819</v>
      </c>
      <c r="J213" s="9">
        <f t="shared" si="493"/>
        <v>114.51865278304312</v>
      </c>
      <c r="K213" s="9">
        <f t="shared" si="494"/>
        <v>71.648743912460304</v>
      </c>
      <c r="L213" s="63">
        <f t="shared" si="495"/>
        <v>15</v>
      </c>
      <c r="M213" s="121">
        <f t="shared" si="496"/>
        <v>1.9480064762785787</v>
      </c>
      <c r="N213" s="121">
        <f t="shared" si="497"/>
        <v>1.4602867613119699</v>
      </c>
      <c r="O213" s="121">
        <f t="shared" si="497"/>
        <v>3.4082932375905557</v>
      </c>
      <c r="P213" s="62">
        <f t="shared" si="498"/>
        <v>59.529404498953284</v>
      </c>
      <c r="Q213" s="62">
        <f t="shared" si="518"/>
        <v>0</v>
      </c>
      <c r="R213" s="61">
        <f t="shared" si="500"/>
        <v>83.050117854395822</v>
      </c>
      <c r="S213" s="61">
        <f t="shared" si="501"/>
        <v>52.451353492939717</v>
      </c>
      <c r="T213" s="61">
        <f t="shared" si="502"/>
        <v>6.7424466161933765</v>
      </c>
      <c r="U213" s="59"/>
      <c r="V213" s="59"/>
      <c r="W213" s="59"/>
      <c r="X213" s="59"/>
      <c r="Y213" s="59"/>
      <c r="Z213" s="59"/>
      <c r="AA213" s="59"/>
      <c r="AB213" s="59"/>
      <c r="AC213" s="59"/>
      <c r="AD213" s="59"/>
      <c r="AE213" s="59"/>
      <c r="AF213" s="59"/>
      <c r="AG213" s="128">
        <f t="shared" si="510"/>
        <v>85.5</v>
      </c>
      <c r="AH213" s="128">
        <f t="shared" si="511"/>
        <v>1.9480064762785787</v>
      </c>
      <c r="AI213" s="128">
        <f t="shared" si="511"/>
        <v>1.4602867613119699</v>
      </c>
      <c r="AJ213" s="128">
        <f t="shared" si="503"/>
        <v>3.4082932375905557</v>
      </c>
      <c r="AK213" s="128">
        <f t="shared" si="512"/>
        <v>6.7424466161933765</v>
      </c>
      <c r="AL213" s="59"/>
      <c r="AM213" s="134">
        <f t="shared" si="519"/>
        <v>-2.8409090909090939E-2</v>
      </c>
      <c r="AN213" s="135">
        <f t="shared" si="520"/>
        <v>2.7948147292733871E-2</v>
      </c>
      <c r="AO213" s="135">
        <f t="shared" si="521"/>
        <v>3.5264430992840046E-2</v>
      </c>
      <c r="AP213" s="135">
        <f t="shared" si="521"/>
        <v>3.0674846625766694E-2</v>
      </c>
      <c r="AQ213" s="134">
        <f t="shared" si="522"/>
        <v>0</v>
      </c>
    </row>
    <row r="214" spans="1:43">
      <c r="A214" s="12"/>
      <c r="B214" s="5"/>
      <c r="C214" s="13"/>
      <c r="D214" s="12"/>
      <c r="E214" s="13"/>
      <c r="F214" s="13"/>
      <c r="G214" s="13"/>
      <c r="H214" s="13"/>
      <c r="I214" s="104"/>
      <c r="J214" s="13"/>
      <c r="K214" s="13"/>
      <c r="L214" s="13"/>
      <c r="M214" s="145"/>
      <c r="N214" s="145"/>
      <c r="O214" s="145"/>
      <c r="P214" s="13"/>
      <c r="Q214" s="13"/>
      <c r="R214" s="13"/>
      <c r="S214" s="13"/>
      <c r="T214" s="13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31"/>
      <c r="AH214" s="132"/>
      <c r="AI214" s="132"/>
      <c r="AJ214" s="132"/>
      <c r="AK214" s="131"/>
      <c r="AL214" s="12"/>
      <c r="AM214" s="12"/>
      <c r="AN214" s="12"/>
      <c r="AO214" s="12"/>
      <c r="AP214" s="12"/>
      <c r="AQ214" s="12"/>
    </row>
    <row r="215" spans="1:43" ht="18.75">
      <c r="A215" s="15" t="s">
        <v>78</v>
      </c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  <c r="AQ215" s="59"/>
    </row>
    <row r="216" spans="1:43">
      <c r="A216" s="20"/>
      <c r="B216" s="20"/>
      <c r="C216" s="20"/>
      <c r="D216" s="20"/>
      <c r="E216" s="20"/>
      <c r="F216" s="20"/>
      <c r="G216" s="12"/>
      <c r="H216" s="59"/>
      <c r="I216" s="59"/>
      <c r="J216" s="59"/>
      <c r="K216" s="59"/>
      <c r="L216" s="59"/>
      <c r="M216" s="236" t="s">
        <v>14</v>
      </c>
      <c r="N216" s="237"/>
      <c r="O216" s="59"/>
      <c r="P216" s="59"/>
      <c r="Q216" s="59"/>
      <c r="R216" s="59"/>
      <c r="S216" s="59"/>
      <c r="T216" s="59"/>
      <c r="U216" s="59"/>
      <c r="V216" s="5"/>
      <c r="W216" s="59"/>
      <c r="X216" s="59"/>
      <c r="Y216" s="59"/>
      <c r="Z216" s="59"/>
      <c r="AA216" s="59"/>
      <c r="AB216" s="59"/>
      <c r="AC216" s="59"/>
      <c r="AD216" s="59"/>
      <c r="AE216" s="59"/>
      <c r="AF216" s="59"/>
      <c r="AG216" s="27"/>
      <c r="AH216" s="27"/>
      <c r="AI216" s="27"/>
      <c r="AJ216" s="27"/>
      <c r="AK216" s="27"/>
      <c r="AL216" s="59"/>
      <c r="AM216" s="59"/>
      <c r="AN216" s="59"/>
      <c r="AO216" s="59"/>
      <c r="AP216" s="59"/>
      <c r="AQ216" s="59"/>
    </row>
    <row r="217" spans="1:43" ht="136.5">
      <c r="A217" s="27"/>
      <c r="B217" s="28" t="s">
        <v>12</v>
      </c>
      <c r="C217" s="28" t="s">
        <v>8</v>
      </c>
      <c r="D217" s="65" t="s">
        <v>42</v>
      </c>
      <c r="E217" s="28" t="s">
        <v>3</v>
      </c>
      <c r="F217" s="28" t="s">
        <v>4</v>
      </c>
      <c r="G217" s="28" t="s">
        <v>41</v>
      </c>
      <c r="H217" s="66" t="s">
        <v>1</v>
      </c>
      <c r="I217" s="66" t="s">
        <v>20</v>
      </c>
      <c r="J217" s="28" t="s">
        <v>6</v>
      </c>
      <c r="K217" s="28" t="s">
        <v>5</v>
      </c>
      <c r="L217" s="31" t="s">
        <v>49</v>
      </c>
      <c r="M217" s="31" t="s">
        <v>9</v>
      </c>
      <c r="N217" s="28" t="s">
        <v>18</v>
      </c>
      <c r="O217" s="28" t="s">
        <v>19</v>
      </c>
      <c r="P217" s="32" t="s">
        <v>25</v>
      </c>
      <c r="Q217" s="28" t="s">
        <v>27</v>
      </c>
      <c r="R217" s="67" t="s">
        <v>26</v>
      </c>
      <c r="S217" s="28" t="s">
        <v>28</v>
      </c>
      <c r="T217" s="28" t="s">
        <v>33</v>
      </c>
      <c r="U217" s="28" t="s">
        <v>34</v>
      </c>
      <c r="V217" s="28" t="s">
        <v>30</v>
      </c>
      <c r="W217" s="28" t="s">
        <v>43</v>
      </c>
      <c r="X217" s="65" t="s">
        <v>29</v>
      </c>
      <c r="Y217" s="28" t="s">
        <v>32</v>
      </c>
      <c r="Z217" s="66" t="s">
        <v>31</v>
      </c>
      <c r="AA217" s="66" t="s">
        <v>35</v>
      </c>
      <c r="AB217" s="28" t="s">
        <v>36</v>
      </c>
      <c r="AC217" s="66" t="s">
        <v>37</v>
      </c>
      <c r="AD217" s="66" t="s">
        <v>48</v>
      </c>
      <c r="AE217" s="68" t="s">
        <v>38</v>
      </c>
      <c r="AF217" s="27"/>
      <c r="AG217" s="128" t="str">
        <f>E202</f>
        <v>Inboard (cm)</v>
      </c>
      <c r="AH217" s="28" t="s">
        <v>113</v>
      </c>
      <c r="AI217" s="28" t="s">
        <v>114</v>
      </c>
      <c r="AJ217" s="28" t="s">
        <v>115</v>
      </c>
      <c r="AK217" s="28" t="str">
        <f>T202</f>
        <v>change in distance between handles (cm / cm)</v>
      </c>
      <c r="AL217" s="27"/>
      <c r="AM217" s="28" t="str">
        <f>AG217</f>
        <v>Inboard (cm)</v>
      </c>
      <c r="AN217" s="28" t="str">
        <f t="shared" ref="AN217:AQ217" si="528">AH217</f>
        <v>Change in catch angle (deg)</v>
      </c>
      <c r="AO217" s="28" t="str">
        <f t="shared" si="528"/>
        <v>Change in finish angle (deg)</v>
      </c>
      <c r="AP217" s="28" t="str">
        <f t="shared" si="528"/>
        <v>Change in sweep angle (deg)</v>
      </c>
      <c r="AQ217" s="28" t="str">
        <f t="shared" si="528"/>
        <v>change in distance between handles (cm / cm)</v>
      </c>
    </row>
    <row r="218" spans="1:43">
      <c r="A218" s="59"/>
      <c r="B218" s="20">
        <f>B203</f>
        <v>183</v>
      </c>
      <c r="C218" s="18">
        <f t="shared" ref="C218:C222" si="529">100*(0.297865*B218/100+1.08387)</f>
        <v>162.89629500000001</v>
      </c>
      <c r="D218" s="63">
        <f t="shared" ref="D218:D228" si="530">G203</f>
        <v>18.401977414937022</v>
      </c>
      <c r="E218" s="20">
        <f>E203</f>
        <v>90.5</v>
      </c>
      <c r="F218" s="63">
        <f>F203</f>
        <v>160</v>
      </c>
      <c r="G218" s="20">
        <f t="shared" ref="G218:G222" si="531">(E218+2)*2 -F218</f>
        <v>25</v>
      </c>
      <c r="H218" s="69">
        <f>DEGREES(ACOS((F218-D218)/2/(E218+2)))</f>
        <v>40.057879451681572</v>
      </c>
      <c r="I218" s="69">
        <f t="shared" ref="I218:I222" si="532">H218-H$223</f>
        <v>-1.3517426575892841</v>
      </c>
      <c r="J218" s="61"/>
      <c r="K218" s="63"/>
      <c r="L218" s="62">
        <f t="shared" ref="L218:L228" si="533">((F218-D218)/2)*TAN(RADIANS(H218))</f>
        <v>59.529404498953262</v>
      </c>
      <c r="M218" s="62">
        <f t="shared" ref="M218:M222" si="534">L218-L$223</f>
        <v>0</v>
      </c>
      <c r="N218" s="63"/>
      <c r="O218" s="63"/>
      <c r="P218" s="23">
        <f>P$131</f>
        <v>1</v>
      </c>
      <c r="Q218" s="20">
        <f t="shared" ref="Q218:Q228" si="535">B218 *P218</f>
        <v>183</v>
      </c>
      <c r="R218" s="23">
        <f>R$131</f>
        <v>0.3</v>
      </c>
      <c r="S218" s="61">
        <f>Q218*R218</f>
        <v>54.9</v>
      </c>
      <c r="T218" s="61">
        <f>S218/2</f>
        <v>27.45</v>
      </c>
      <c r="U218" s="61">
        <f t="shared" ref="U218:U221" si="536">U$223</f>
        <v>52.55</v>
      </c>
      <c r="V218" s="61"/>
      <c r="W218" s="61">
        <f t="shared" ref="W218:W222" si="537">COS(RADIANS(17))*((Q218-S218)/2 -8)</f>
        <v>53.600881571728131</v>
      </c>
      <c r="X218" s="61">
        <f>X$223-M218</f>
        <v>35.235017937930365</v>
      </c>
      <c r="Y218" s="61">
        <f>SQRT(X218*X218+U218*U218)</f>
        <v>63.269336878825229</v>
      </c>
      <c r="Z218" s="69">
        <f>DEGREES(ASIN(X218/Y218))</f>
        <v>33.84203553914503</v>
      </c>
      <c r="AA218" s="69">
        <f t="shared" ref="AA218:AA228" si="538">DEGREES(ACOS(((E218+2)*(E218+2)+(Y218*Y218)-(W218*W218))/(2*(E218+2)*(Y218))))</f>
        <v>34.15321292514701</v>
      </c>
      <c r="AB218" s="4">
        <f t="shared" ref="AB218:AB228" si="539">Z218+AA218</f>
        <v>67.995248464292047</v>
      </c>
      <c r="AC218" s="70">
        <f t="shared" ref="AC218:AC222" si="540">AB218-AB$223</f>
        <v>-1.7054889718896504</v>
      </c>
      <c r="AD218" s="69">
        <f>AB218+H218</f>
        <v>108.05312791597362</v>
      </c>
      <c r="AE218" s="71">
        <f t="shared" ref="AE218:AE222" si="541">H218+AB218-J$223</f>
        <v>-3.0572316294789488</v>
      </c>
      <c r="AF218" s="59"/>
      <c r="AG218" s="128">
        <f>E203</f>
        <v>90.5</v>
      </c>
      <c r="AH218" s="128">
        <f t="shared" ref="AH218:AH228" si="542">AC218</f>
        <v>-1.7054889718896504</v>
      </c>
      <c r="AI218" s="128">
        <f>I218</f>
        <v>-1.3517426575892841</v>
      </c>
      <c r="AJ218" s="128">
        <f t="shared" ref="AJ218:AJ228" si="543">AE218</f>
        <v>-3.0572316294789488</v>
      </c>
      <c r="AK218" s="128">
        <f>T203</f>
        <v>-6.5980225850629779</v>
      </c>
      <c r="AL218" s="59"/>
      <c r="AM218" s="134">
        <f t="shared" ref="AM218:AM222" si="544">AG218/AG$223-1</f>
        <v>2.8409090909090828E-2</v>
      </c>
      <c r="AN218" s="135">
        <f t="shared" ref="AN218:AN222" si="545">AB218/AB$223-1</f>
        <v>-2.4468736409728908E-2</v>
      </c>
      <c r="AO218" s="135">
        <f t="shared" ref="AO218:AO222" si="546">H218/H$223-1</f>
        <v>-3.2643201959736134E-2</v>
      </c>
      <c r="AP218" s="134">
        <f t="shared" ref="AP218:AP222" si="547">AD218/AD$223-1</f>
        <v>-2.7515270781103829E-2</v>
      </c>
      <c r="AQ218" s="134">
        <f t="shared" ref="AQ218:AQ222" si="548">(Q218+60)/(Q$223+60) -1</f>
        <v>0</v>
      </c>
    </row>
    <row r="219" spans="1:43">
      <c r="A219" s="59"/>
      <c r="B219" s="20">
        <f t="shared" ref="B219:B228" si="549">B204</f>
        <v>183</v>
      </c>
      <c r="C219" s="18">
        <f t="shared" si="529"/>
        <v>162.89629500000001</v>
      </c>
      <c r="D219" s="63">
        <f t="shared" si="530"/>
        <v>19.711012549095642</v>
      </c>
      <c r="E219" s="20">
        <f t="shared" ref="E219:F228" si="550">E204</f>
        <v>90</v>
      </c>
      <c r="F219" s="63">
        <f t="shared" si="550"/>
        <v>160</v>
      </c>
      <c r="G219" s="20">
        <f t="shared" si="531"/>
        <v>24</v>
      </c>
      <c r="H219" s="69">
        <f t="shared" ref="H219:H228" si="551">DEGREES(ACOS((F219-D219)/2/(E219+2)))</f>
        <v>40.320209135121651</v>
      </c>
      <c r="I219" s="69">
        <f t="shared" si="532"/>
        <v>-1.0894129741492051</v>
      </c>
      <c r="J219" s="61"/>
      <c r="K219" s="63"/>
      <c r="L219" s="62">
        <f t="shared" si="533"/>
        <v>59.529404498953269</v>
      </c>
      <c r="M219" s="62">
        <f t="shared" si="534"/>
        <v>0</v>
      </c>
      <c r="N219" s="63"/>
      <c r="O219" s="63"/>
      <c r="P219" s="23">
        <f t="shared" ref="P219:P222" si="552">P$131</f>
        <v>1</v>
      </c>
      <c r="Q219" s="20">
        <f t="shared" si="535"/>
        <v>183</v>
      </c>
      <c r="R219" s="23">
        <f t="shared" ref="R219:R222" si="553">R$131</f>
        <v>0.3</v>
      </c>
      <c r="S219" s="61">
        <f t="shared" ref="S219:S222" si="554">Q219*R219</f>
        <v>54.9</v>
      </c>
      <c r="T219" s="61">
        <f t="shared" ref="T219:T222" si="555">S219/2</f>
        <v>27.45</v>
      </c>
      <c r="U219" s="61">
        <f t="shared" si="536"/>
        <v>52.55</v>
      </c>
      <c r="V219" s="61"/>
      <c r="W219" s="61">
        <f t="shared" si="537"/>
        <v>53.600881571728131</v>
      </c>
      <c r="X219" s="61">
        <f t="shared" ref="X219:X222" si="556">X$223-M219</f>
        <v>35.235017937930365</v>
      </c>
      <c r="Y219" s="61">
        <f>SQRT(X219*X219+U219*U219)</f>
        <v>63.269336878825229</v>
      </c>
      <c r="Z219" s="69">
        <f>DEGREES(ASIN(X219/Y219))</f>
        <v>33.84203553914503</v>
      </c>
      <c r="AA219" s="69">
        <f t="shared" si="538"/>
        <v>34.50137573623671</v>
      </c>
      <c r="AB219" s="4">
        <f t="shared" si="539"/>
        <v>68.34341127538174</v>
      </c>
      <c r="AC219" s="70">
        <f t="shared" si="540"/>
        <v>-1.3573261607999569</v>
      </c>
      <c r="AD219" s="69">
        <f t="shared" ref="AD219:AD228" si="557">AB219+H219</f>
        <v>108.6636204105034</v>
      </c>
      <c r="AE219" s="71">
        <f t="shared" si="541"/>
        <v>-2.4467391349491692</v>
      </c>
      <c r="AF219" s="59"/>
      <c r="AG219" s="128">
        <f t="shared" ref="AG219:AG228" si="558">E204</f>
        <v>90</v>
      </c>
      <c r="AH219" s="128">
        <f t="shared" si="542"/>
        <v>-1.3573261607999569</v>
      </c>
      <c r="AI219" s="128">
        <f t="shared" ref="AI219:AI228" si="559">I219</f>
        <v>-1.0894129741492051</v>
      </c>
      <c r="AJ219" s="128">
        <f t="shared" si="543"/>
        <v>-2.4467391349491692</v>
      </c>
      <c r="AK219" s="128">
        <f t="shared" ref="AK219:AK228" si="560">T204</f>
        <v>-5.288987450904358</v>
      </c>
      <c r="AL219" s="59"/>
      <c r="AM219" s="134">
        <f t="shared" si="544"/>
        <v>2.2727272727272707E-2</v>
      </c>
      <c r="AN219" s="135">
        <f t="shared" si="545"/>
        <v>-1.9473626976224345E-2</v>
      </c>
      <c r="AO219" s="135">
        <f t="shared" si="546"/>
        <v>-2.6308208543282197E-2</v>
      </c>
      <c r="AP219" s="134">
        <f t="shared" si="547"/>
        <v>-2.2020801165243742E-2</v>
      </c>
      <c r="AQ219" s="134">
        <f t="shared" si="548"/>
        <v>0</v>
      </c>
    </row>
    <row r="220" spans="1:43">
      <c r="A220" s="59"/>
      <c r="B220" s="20">
        <f t="shared" si="549"/>
        <v>183</v>
      </c>
      <c r="C220" s="18">
        <f t="shared" si="529"/>
        <v>162.89629500000001</v>
      </c>
      <c r="D220" s="63">
        <f t="shared" si="530"/>
        <v>21.025182137194349</v>
      </c>
      <c r="E220" s="20">
        <f t="shared" si="550"/>
        <v>89.5</v>
      </c>
      <c r="F220" s="63">
        <f t="shared" si="550"/>
        <v>160</v>
      </c>
      <c r="G220" s="20">
        <f t="shared" si="531"/>
        <v>23</v>
      </c>
      <c r="H220" s="69">
        <f t="shared" si="551"/>
        <v>40.586446023621598</v>
      </c>
      <c r="I220" s="69">
        <f t="shared" si="532"/>
        <v>-0.82317608564925848</v>
      </c>
      <c r="J220" s="61"/>
      <c r="K220" s="63"/>
      <c r="L220" s="62">
        <f t="shared" si="533"/>
        <v>59.529404498953269</v>
      </c>
      <c r="M220" s="62">
        <f t="shared" si="534"/>
        <v>0</v>
      </c>
      <c r="N220" s="63"/>
      <c r="O220" s="63"/>
      <c r="P220" s="23">
        <f t="shared" si="552"/>
        <v>1</v>
      </c>
      <c r="Q220" s="20">
        <f t="shared" si="535"/>
        <v>183</v>
      </c>
      <c r="R220" s="23">
        <f t="shared" si="553"/>
        <v>0.3</v>
      </c>
      <c r="S220" s="61">
        <f t="shared" si="554"/>
        <v>54.9</v>
      </c>
      <c r="T220" s="61">
        <f t="shared" si="555"/>
        <v>27.45</v>
      </c>
      <c r="U220" s="61">
        <f t="shared" si="536"/>
        <v>52.55</v>
      </c>
      <c r="V220" s="61"/>
      <c r="W220" s="61">
        <f t="shared" si="537"/>
        <v>53.600881571728131</v>
      </c>
      <c r="X220" s="61">
        <f t="shared" si="556"/>
        <v>35.235017937930365</v>
      </c>
      <c r="Y220" s="61">
        <f t="shared" ref="Y220:Y222" si="561">SQRT(X220*X220+U220*U220)</f>
        <v>63.269336878825229</v>
      </c>
      <c r="Z220" s="69">
        <f t="shared" ref="Z220:Z222" si="562">DEGREES(ASIN(X220/Y220))</f>
        <v>33.84203553914503</v>
      </c>
      <c r="AA220" s="69">
        <f t="shared" si="538"/>
        <v>34.845912252777723</v>
      </c>
      <c r="AB220" s="4">
        <f t="shared" si="539"/>
        <v>68.687947791922753</v>
      </c>
      <c r="AC220" s="70">
        <f t="shared" si="540"/>
        <v>-1.0127896442589446</v>
      </c>
      <c r="AD220" s="69">
        <f t="shared" si="557"/>
        <v>109.27439381554436</v>
      </c>
      <c r="AE220" s="71">
        <f t="shared" si="541"/>
        <v>-1.8359657299082102</v>
      </c>
      <c r="AF220" s="59"/>
      <c r="AG220" s="128">
        <f t="shared" si="558"/>
        <v>89.5</v>
      </c>
      <c r="AH220" s="128">
        <f t="shared" si="542"/>
        <v>-1.0127896442589446</v>
      </c>
      <c r="AI220" s="128">
        <f t="shared" si="559"/>
        <v>-0.82317608564925848</v>
      </c>
      <c r="AJ220" s="128">
        <f t="shared" si="543"/>
        <v>-1.8359657299082102</v>
      </c>
      <c r="AK220" s="128">
        <f t="shared" si="560"/>
        <v>-3.9748178628056507</v>
      </c>
      <c r="AL220" s="59"/>
      <c r="AM220" s="134">
        <f t="shared" si="544"/>
        <v>1.7045454545454586E-2</v>
      </c>
      <c r="AN220" s="135">
        <f t="shared" si="545"/>
        <v>-1.4530544173743665E-2</v>
      </c>
      <c r="AO220" s="135">
        <f t="shared" si="546"/>
        <v>-1.987886012282547E-2</v>
      </c>
      <c r="AP220" s="134">
        <f t="shared" si="547"/>
        <v>-1.6523803337681997E-2</v>
      </c>
      <c r="AQ220" s="134">
        <f t="shared" si="548"/>
        <v>0</v>
      </c>
    </row>
    <row r="221" spans="1:43">
      <c r="A221" s="59"/>
      <c r="B221" s="20">
        <f t="shared" si="549"/>
        <v>183</v>
      </c>
      <c r="C221" s="18">
        <f t="shared" si="529"/>
        <v>162.89629500000001</v>
      </c>
      <c r="D221" s="63">
        <f t="shared" si="530"/>
        <v>22.344633232118383</v>
      </c>
      <c r="E221" s="20">
        <f t="shared" si="550"/>
        <v>89</v>
      </c>
      <c r="F221" s="63">
        <f t="shared" si="550"/>
        <v>160</v>
      </c>
      <c r="G221" s="20">
        <f t="shared" si="531"/>
        <v>22</v>
      </c>
      <c r="H221" s="69">
        <f t="shared" si="551"/>
        <v>40.856690357247807</v>
      </c>
      <c r="I221" s="69">
        <f t="shared" si="532"/>
        <v>-0.55293175202304923</v>
      </c>
      <c r="J221" s="61"/>
      <c r="K221" s="63"/>
      <c r="L221" s="62">
        <f t="shared" si="533"/>
        <v>59.529404498953269</v>
      </c>
      <c r="M221" s="62">
        <f t="shared" si="534"/>
        <v>0</v>
      </c>
      <c r="N221" s="63"/>
      <c r="O221" s="63"/>
      <c r="P221" s="23">
        <f t="shared" si="552"/>
        <v>1</v>
      </c>
      <c r="Q221" s="20">
        <f t="shared" si="535"/>
        <v>183</v>
      </c>
      <c r="R221" s="23">
        <f t="shared" si="553"/>
        <v>0.3</v>
      </c>
      <c r="S221" s="61">
        <f t="shared" si="554"/>
        <v>54.9</v>
      </c>
      <c r="T221" s="61">
        <f t="shared" si="555"/>
        <v>27.45</v>
      </c>
      <c r="U221" s="61">
        <f t="shared" si="536"/>
        <v>52.55</v>
      </c>
      <c r="V221" s="61"/>
      <c r="W221" s="61">
        <f t="shared" si="537"/>
        <v>53.600881571728131</v>
      </c>
      <c r="X221" s="61">
        <f t="shared" si="556"/>
        <v>35.235017937930365</v>
      </c>
      <c r="Y221" s="61">
        <f t="shared" si="561"/>
        <v>63.269336878825229</v>
      </c>
      <c r="Z221" s="69">
        <f t="shared" si="562"/>
        <v>33.84203553914503</v>
      </c>
      <c r="AA221" s="69">
        <f t="shared" si="538"/>
        <v>35.186918740596532</v>
      </c>
      <c r="AB221" s="4">
        <f t="shared" si="539"/>
        <v>69.028954279741555</v>
      </c>
      <c r="AC221" s="70">
        <f t="shared" si="540"/>
        <v>-0.67178315644014219</v>
      </c>
      <c r="AD221" s="69">
        <f t="shared" si="557"/>
        <v>109.88564463698935</v>
      </c>
      <c r="AE221" s="71">
        <f t="shared" si="541"/>
        <v>-1.2247149084632127</v>
      </c>
      <c r="AF221" s="59"/>
      <c r="AG221" s="128">
        <f t="shared" si="558"/>
        <v>89</v>
      </c>
      <c r="AH221" s="128">
        <f t="shared" si="542"/>
        <v>-0.67178315644014219</v>
      </c>
      <c r="AI221" s="128">
        <f t="shared" si="559"/>
        <v>-0.55293175202304923</v>
      </c>
      <c r="AJ221" s="128">
        <f t="shared" si="543"/>
        <v>-1.2247149084632127</v>
      </c>
      <c r="AK221" s="128">
        <f t="shared" si="560"/>
        <v>-2.6553667678816169</v>
      </c>
      <c r="AL221" s="59"/>
      <c r="AM221" s="134">
        <f t="shared" si="544"/>
        <v>1.1363636363636465E-2</v>
      </c>
      <c r="AN221" s="135">
        <f t="shared" si="545"/>
        <v>-9.6381068716128171E-3</v>
      </c>
      <c r="AO221" s="135">
        <f t="shared" si="546"/>
        <v>-1.3352736003337196E-2</v>
      </c>
      <c r="AP221" s="134">
        <f t="shared" si="547"/>
        <v>-1.1022508733420144E-2</v>
      </c>
      <c r="AQ221" s="134">
        <f t="shared" si="548"/>
        <v>0</v>
      </c>
    </row>
    <row r="222" spans="1:43">
      <c r="A222" s="59"/>
      <c r="B222" s="20">
        <f t="shared" si="549"/>
        <v>183</v>
      </c>
      <c r="C222" s="18">
        <f t="shared" si="529"/>
        <v>162.89629500000001</v>
      </c>
      <c r="D222" s="63">
        <f t="shared" si="530"/>
        <v>23.669519182245978</v>
      </c>
      <c r="E222" s="20">
        <f t="shared" si="550"/>
        <v>88.5</v>
      </c>
      <c r="F222" s="63">
        <f t="shared" si="550"/>
        <v>160</v>
      </c>
      <c r="G222" s="20">
        <f t="shared" si="531"/>
        <v>21</v>
      </c>
      <c r="H222" s="69">
        <f t="shared" si="551"/>
        <v>41.131046291041493</v>
      </c>
      <c r="I222" s="69">
        <f t="shared" si="532"/>
        <v>-0.27857581822936339</v>
      </c>
      <c r="J222" s="61"/>
      <c r="K222" s="63"/>
      <c r="L222" s="62">
        <f t="shared" si="533"/>
        <v>59.529404498953291</v>
      </c>
      <c r="M222" s="62">
        <f t="shared" si="534"/>
        <v>0</v>
      </c>
      <c r="N222" s="63"/>
      <c r="O222" s="63"/>
      <c r="P222" s="23">
        <f t="shared" si="552"/>
        <v>1</v>
      </c>
      <c r="Q222" s="20">
        <f t="shared" si="535"/>
        <v>183</v>
      </c>
      <c r="R222" s="23">
        <f t="shared" si="553"/>
        <v>0.3</v>
      </c>
      <c r="S222" s="61">
        <f t="shared" si="554"/>
        <v>54.9</v>
      </c>
      <c r="T222" s="61">
        <f t="shared" si="555"/>
        <v>27.45</v>
      </c>
      <c r="U222" s="61">
        <f>U$223</f>
        <v>52.55</v>
      </c>
      <c r="V222" s="61"/>
      <c r="W222" s="61">
        <f t="shared" si="537"/>
        <v>53.600881571728131</v>
      </c>
      <c r="X222" s="61">
        <f t="shared" si="556"/>
        <v>35.235017937930365</v>
      </c>
      <c r="Y222" s="61">
        <f t="shared" si="561"/>
        <v>63.269336878825229</v>
      </c>
      <c r="Z222" s="69">
        <f t="shared" si="562"/>
        <v>33.84203553914503</v>
      </c>
      <c r="AA222" s="69">
        <f t="shared" si="538"/>
        <v>35.524486442156295</v>
      </c>
      <c r="AB222" s="4">
        <f t="shared" si="539"/>
        <v>69.366521981301332</v>
      </c>
      <c r="AC222" s="70">
        <f t="shared" si="540"/>
        <v>-0.33421545488036486</v>
      </c>
      <c r="AD222" s="69">
        <f t="shared" si="557"/>
        <v>110.49756827234282</v>
      </c>
      <c r="AE222" s="71">
        <f t="shared" si="541"/>
        <v>-0.61279127310974957</v>
      </c>
      <c r="AF222" s="59"/>
      <c r="AG222" s="128">
        <f t="shared" si="558"/>
        <v>88.5</v>
      </c>
      <c r="AH222" s="128">
        <f t="shared" si="542"/>
        <v>-0.33421545488036486</v>
      </c>
      <c r="AI222" s="128">
        <f t="shared" si="559"/>
        <v>-0.27857581822936339</v>
      </c>
      <c r="AJ222" s="128">
        <f t="shared" si="543"/>
        <v>-0.61279127310974957</v>
      </c>
      <c r="AK222" s="128">
        <f t="shared" si="560"/>
        <v>-1.3304808177540224</v>
      </c>
      <c r="AL222" s="59"/>
      <c r="AM222" s="134">
        <f t="shared" si="544"/>
        <v>5.6818181818181213E-3</v>
      </c>
      <c r="AN222" s="135">
        <f t="shared" si="545"/>
        <v>-4.7950060096045855E-3</v>
      </c>
      <c r="AO222" s="135">
        <f t="shared" si="546"/>
        <v>-6.7273209471524487E-3</v>
      </c>
      <c r="AP222" s="134">
        <f t="shared" si="547"/>
        <v>-5.5151587630229981E-3</v>
      </c>
      <c r="AQ222" s="134">
        <f t="shared" si="548"/>
        <v>0</v>
      </c>
    </row>
    <row r="223" spans="1:43">
      <c r="A223" s="15"/>
      <c r="B223" s="20">
        <f t="shared" si="549"/>
        <v>183</v>
      </c>
      <c r="C223" s="37">
        <f>100*(0.297865*B223/100+1.08387)</f>
        <v>162.89629500000001</v>
      </c>
      <c r="D223" s="122">
        <f t="shared" si="530"/>
        <v>25</v>
      </c>
      <c r="E223" s="20">
        <f t="shared" si="550"/>
        <v>88</v>
      </c>
      <c r="F223" s="63">
        <f t="shared" si="550"/>
        <v>160</v>
      </c>
      <c r="G223" s="38">
        <f>(E223+2)*2 -F223</f>
        <v>20</v>
      </c>
      <c r="H223" s="69">
        <f t="shared" si="551"/>
        <v>41.409622109270856</v>
      </c>
      <c r="I223" s="69">
        <f>H223-H$223</f>
        <v>0</v>
      </c>
      <c r="J223" s="52">
        <f>DEGREES(C223/(E223-6+2))</f>
        <v>111.11035954545257</v>
      </c>
      <c r="K223" s="39">
        <f>J223-H223</f>
        <v>69.700737436181711</v>
      </c>
      <c r="L223" s="41">
        <f t="shared" si="533"/>
        <v>59.529404498953284</v>
      </c>
      <c r="M223" s="62">
        <f>L223-L$223</f>
        <v>0</v>
      </c>
      <c r="N223" s="39">
        <f>(E223+2)*SIN(RADIANS(K223))</f>
        <v>84.410405985170328</v>
      </c>
      <c r="O223" s="39">
        <f>(F223/2)- (E223+2)*COS(RADIANS(K223))</f>
        <v>48.776877775937891</v>
      </c>
      <c r="P223" s="42">
        <v>1</v>
      </c>
      <c r="Q223" s="43">
        <f t="shared" si="535"/>
        <v>183</v>
      </c>
      <c r="R223" s="42">
        <v>0.3</v>
      </c>
      <c r="S223" s="39">
        <f>Q223*R223</f>
        <v>54.9</v>
      </c>
      <c r="T223" s="39">
        <f>S223/2</f>
        <v>27.45</v>
      </c>
      <c r="U223" s="39">
        <f>F223/2 -S223/2</f>
        <v>52.55</v>
      </c>
      <c r="V223" s="39">
        <f>O223-T223</f>
        <v>21.326877775937891</v>
      </c>
      <c r="W223" s="39">
        <f>COS(RADIANS(17))*((Q223-S223)/2-8)</f>
        <v>53.600881571728131</v>
      </c>
      <c r="X223" s="40">
        <f xml:space="preserve"> N223- SQRT(W223*W223-V223*V223)</f>
        <v>35.235017937930365</v>
      </c>
      <c r="Y223" s="39">
        <f>SQRT(X223*X223+U223*U223)</f>
        <v>63.269336878825229</v>
      </c>
      <c r="Z223" s="70">
        <f>DEGREES(ASIN(X223/Y223))</f>
        <v>33.84203553914503</v>
      </c>
      <c r="AA223" s="70">
        <f t="shared" si="538"/>
        <v>35.858701897036667</v>
      </c>
      <c r="AB223" s="52">
        <f t="shared" si="539"/>
        <v>69.700737436181697</v>
      </c>
      <c r="AC223" s="70">
        <f>AB223-AB$223</f>
        <v>0</v>
      </c>
      <c r="AD223" s="70">
        <f t="shared" si="557"/>
        <v>111.11035954545255</v>
      </c>
      <c r="AE223" s="71">
        <f>H223+AB223-J$223</f>
        <v>0</v>
      </c>
      <c r="AF223" s="15"/>
      <c r="AG223" s="128">
        <f t="shared" si="558"/>
        <v>88</v>
      </c>
      <c r="AH223" s="128">
        <f t="shared" si="542"/>
        <v>0</v>
      </c>
      <c r="AI223" s="128">
        <f t="shared" si="559"/>
        <v>0</v>
      </c>
      <c r="AJ223" s="128">
        <f t="shared" si="543"/>
        <v>0</v>
      </c>
      <c r="AK223" s="128">
        <f t="shared" si="560"/>
        <v>0</v>
      </c>
      <c r="AL223" s="15"/>
      <c r="AM223" s="134">
        <f>AG223/AG$223-1</f>
        <v>0</v>
      </c>
      <c r="AN223" s="135">
        <f>AB223/AB$223-1</f>
        <v>0</v>
      </c>
      <c r="AO223" s="135">
        <f>H223/H$223-1</f>
        <v>0</v>
      </c>
      <c r="AP223" s="134">
        <f>AD223/AD$223-1</f>
        <v>0</v>
      </c>
      <c r="AQ223" s="134">
        <f>(Q223+60)/(Q$223+60) -1</f>
        <v>0</v>
      </c>
    </row>
    <row r="224" spans="1:43">
      <c r="A224" s="59"/>
      <c r="B224" s="20">
        <f t="shared" si="549"/>
        <v>183</v>
      </c>
      <c r="C224" s="18">
        <f t="shared" ref="C224:C228" si="563">100*(0.297865*B224/100+1.08387)</f>
        <v>162.89629500000001</v>
      </c>
      <c r="D224" s="63">
        <f t="shared" si="530"/>
        <v>26.336242758180703</v>
      </c>
      <c r="E224" s="20">
        <f t="shared" si="550"/>
        <v>87.5</v>
      </c>
      <c r="F224" s="63">
        <f t="shared" si="550"/>
        <v>160</v>
      </c>
      <c r="G224" s="20">
        <f t="shared" ref="G224:G228" si="564">(E224+2)*2 -F224</f>
        <v>19</v>
      </c>
      <c r="H224" s="69">
        <f t="shared" si="551"/>
        <v>41.692530455105114</v>
      </c>
      <c r="I224" s="69">
        <f t="shared" ref="I224:I228" si="565">H224-H$223</f>
        <v>0.28290834583425806</v>
      </c>
      <c r="J224" s="61"/>
      <c r="K224" s="63"/>
      <c r="L224" s="62">
        <f t="shared" si="533"/>
        <v>59.529404498953291</v>
      </c>
      <c r="M224" s="62">
        <f t="shared" ref="M224:M228" si="566">L224-L$223</f>
        <v>0</v>
      </c>
      <c r="N224" s="63"/>
      <c r="O224" s="63"/>
      <c r="P224" s="23">
        <f>P$131</f>
        <v>1</v>
      </c>
      <c r="Q224" s="20">
        <f t="shared" si="535"/>
        <v>183</v>
      </c>
      <c r="R224" s="23">
        <f>R$131</f>
        <v>0.3</v>
      </c>
      <c r="S224" s="61">
        <f>Q224*R224</f>
        <v>54.9</v>
      </c>
      <c r="T224" s="61">
        <f>S224/2</f>
        <v>27.45</v>
      </c>
      <c r="U224" s="61">
        <f t="shared" ref="U224:U227" si="567">U$223</f>
        <v>52.55</v>
      </c>
      <c r="V224" s="61"/>
      <c r="W224" s="61">
        <f t="shared" ref="W224:W228" si="568">COS(RADIANS(17))*((Q224-S224)/2 -8)</f>
        <v>53.600881571728131</v>
      </c>
      <c r="X224" s="61">
        <f>X$223-M224</f>
        <v>35.235017937930365</v>
      </c>
      <c r="Y224" s="61">
        <f>SQRT(X224*X224+U224*U224)</f>
        <v>63.269336878825229</v>
      </c>
      <c r="Z224" s="69">
        <f>DEGREES(ASIN(X224/Y224))</f>
        <v>33.84203553914503</v>
      </c>
      <c r="AA224" s="69">
        <f t="shared" si="538"/>
        <v>36.189647235257127</v>
      </c>
      <c r="AB224" s="4">
        <f t="shared" si="539"/>
        <v>70.031682774402157</v>
      </c>
      <c r="AC224" s="70">
        <f t="shared" ref="AC224:AC228" si="569">AB224-AB$223</f>
        <v>0.33094533822045946</v>
      </c>
      <c r="AD224" s="69">
        <f t="shared" si="557"/>
        <v>111.72421322950727</v>
      </c>
      <c r="AE224" s="71">
        <f t="shared" ref="AE224:AE228" si="570">H224+AB224-J$223</f>
        <v>0.61385368405470331</v>
      </c>
      <c r="AF224" s="59"/>
      <c r="AG224" s="128">
        <f t="shared" si="558"/>
        <v>87.5</v>
      </c>
      <c r="AH224" s="128">
        <f t="shared" si="542"/>
        <v>0.33094533822045946</v>
      </c>
      <c r="AI224" s="128">
        <f t="shared" si="559"/>
        <v>0.28290834583425806</v>
      </c>
      <c r="AJ224" s="128">
        <f t="shared" si="543"/>
        <v>0.61385368405470331</v>
      </c>
      <c r="AK224" s="128">
        <f t="shared" si="560"/>
        <v>1.3362427581807026</v>
      </c>
      <c r="AL224" s="59"/>
      <c r="AM224" s="134">
        <f t="shared" ref="AM224:AM228" si="571">AG224/AG$223-1</f>
        <v>-5.6818181818182323E-3</v>
      </c>
      <c r="AN224" s="135">
        <f t="shared" ref="AN224:AN228" si="572">AB224/AB$223-1</f>
        <v>4.748089480738571E-3</v>
      </c>
      <c r="AO224" s="135">
        <f t="shared" ref="AO224:AO228" si="573">H224/H$223-1</f>
        <v>6.8319470553903638E-3</v>
      </c>
      <c r="AP224" s="134">
        <f t="shared" ref="AP224:AP228" si="574">AD224/AD$223-1</f>
        <v>5.5247205262043408E-3</v>
      </c>
      <c r="AQ224" s="134">
        <f t="shared" ref="AQ224:AQ228" si="575">(Q224+60)/(Q$223+60) -1</f>
        <v>0</v>
      </c>
    </row>
    <row r="225" spans="1:43">
      <c r="A225" s="59"/>
      <c r="B225" s="20">
        <f t="shared" si="549"/>
        <v>183</v>
      </c>
      <c r="C225" s="18">
        <f t="shared" si="563"/>
        <v>162.89629500000001</v>
      </c>
      <c r="D225" s="63">
        <f t="shared" si="530"/>
        <v>27.678422016664257</v>
      </c>
      <c r="E225" s="20">
        <f t="shared" si="550"/>
        <v>87</v>
      </c>
      <c r="F225" s="63">
        <f t="shared" si="550"/>
        <v>160</v>
      </c>
      <c r="G225" s="20">
        <f t="shared" si="564"/>
        <v>18</v>
      </c>
      <c r="H225" s="69">
        <f t="shared" si="551"/>
        <v>41.97988857710142</v>
      </c>
      <c r="I225" s="69">
        <f t="shared" si="565"/>
        <v>0.57026646783056378</v>
      </c>
      <c r="J225" s="61"/>
      <c r="K225" s="63"/>
      <c r="L225" s="62">
        <f t="shared" si="533"/>
        <v>59.529404498953255</v>
      </c>
      <c r="M225" s="62">
        <f t="shared" si="566"/>
        <v>0</v>
      </c>
      <c r="N225" s="63"/>
      <c r="O225" s="63"/>
      <c r="P225" s="23">
        <f t="shared" ref="P225:R228" si="576">P$131</f>
        <v>1</v>
      </c>
      <c r="Q225" s="20">
        <f t="shared" si="535"/>
        <v>183</v>
      </c>
      <c r="R225" s="23">
        <f t="shared" si="576"/>
        <v>0.3</v>
      </c>
      <c r="S225" s="61">
        <f t="shared" ref="S225:S228" si="577">Q225*R225</f>
        <v>54.9</v>
      </c>
      <c r="T225" s="61">
        <f t="shared" ref="T225:T228" si="578">S225/2</f>
        <v>27.45</v>
      </c>
      <c r="U225" s="61">
        <f t="shared" si="567"/>
        <v>52.55</v>
      </c>
      <c r="V225" s="61"/>
      <c r="W225" s="61">
        <f t="shared" si="568"/>
        <v>53.600881571728131</v>
      </c>
      <c r="X225" s="61">
        <f t="shared" ref="X225:X228" si="579">X$223-M225</f>
        <v>35.235017937930365</v>
      </c>
      <c r="Y225" s="61">
        <f>SQRT(X225*X225+U225*U225)</f>
        <v>63.269336878825229</v>
      </c>
      <c r="Z225" s="69">
        <f>DEGREES(ASIN(X225/Y225))</f>
        <v>33.84203553914503</v>
      </c>
      <c r="AA225" s="69">
        <f t="shared" si="538"/>
        <v>36.517400446144471</v>
      </c>
      <c r="AB225" s="4">
        <f t="shared" si="539"/>
        <v>70.359435985289508</v>
      </c>
      <c r="AC225" s="70">
        <f t="shared" si="569"/>
        <v>0.658698549107811</v>
      </c>
      <c r="AD225" s="69">
        <f t="shared" si="557"/>
        <v>112.33932456239093</v>
      </c>
      <c r="AE225" s="71">
        <f t="shared" si="570"/>
        <v>1.2289650169383606</v>
      </c>
      <c r="AF225" s="59"/>
      <c r="AG225" s="128">
        <f t="shared" si="558"/>
        <v>87</v>
      </c>
      <c r="AH225" s="128">
        <f t="shared" si="542"/>
        <v>0.658698549107811</v>
      </c>
      <c r="AI225" s="128">
        <f t="shared" si="559"/>
        <v>0.57026646783056378</v>
      </c>
      <c r="AJ225" s="128">
        <f t="shared" si="543"/>
        <v>1.2289650169383606</v>
      </c>
      <c r="AK225" s="128">
        <f t="shared" si="560"/>
        <v>2.6784220166642569</v>
      </c>
      <c r="AL225" s="59"/>
      <c r="AM225" s="134">
        <f t="shared" si="571"/>
        <v>-1.1363636363636354E-2</v>
      </c>
      <c r="AN225" s="135">
        <f t="shared" si="572"/>
        <v>9.4503813494213329E-3</v>
      </c>
      <c r="AO225" s="135">
        <f t="shared" si="573"/>
        <v>1.3771351651694852E-2</v>
      </c>
      <c r="AP225" s="134">
        <f t="shared" si="574"/>
        <v>1.1060759968431588E-2</v>
      </c>
      <c r="AQ225" s="134">
        <f t="shared" si="575"/>
        <v>0</v>
      </c>
    </row>
    <row r="226" spans="1:43">
      <c r="A226" s="59"/>
      <c r="B226" s="20">
        <f t="shared" si="549"/>
        <v>183</v>
      </c>
      <c r="C226" s="18">
        <f t="shared" si="563"/>
        <v>162.89629500000001</v>
      </c>
      <c r="D226" s="63">
        <f t="shared" si="530"/>
        <v>29.026720282341529</v>
      </c>
      <c r="E226" s="20">
        <f t="shared" si="550"/>
        <v>86.5</v>
      </c>
      <c r="F226" s="63">
        <f t="shared" si="550"/>
        <v>160</v>
      </c>
      <c r="G226" s="20">
        <f t="shared" si="564"/>
        <v>17</v>
      </c>
      <c r="H226" s="69">
        <f t="shared" si="551"/>
        <v>42.271818594048668</v>
      </c>
      <c r="I226" s="69">
        <f t="shared" si="565"/>
        <v>0.86219648477781163</v>
      </c>
      <c r="J226" s="61"/>
      <c r="K226" s="63"/>
      <c r="L226" s="62">
        <f t="shared" si="533"/>
        <v>59.529404498953276</v>
      </c>
      <c r="M226" s="62">
        <f t="shared" si="566"/>
        <v>0</v>
      </c>
      <c r="N226" s="63"/>
      <c r="O226" s="63"/>
      <c r="P226" s="23">
        <f t="shared" si="576"/>
        <v>1</v>
      </c>
      <c r="Q226" s="20">
        <f t="shared" si="535"/>
        <v>183</v>
      </c>
      <c r="R226" s="23">
        <f t="shared" si="576"/>
        <v>0.3</v>
      </c>
      <c r="S226" s="61">
        <f t="shared" si="577"/>
        <v>54.9</v>
      </c>
      <c r="T226" s="61">
        <f t="shared" si="578"/>
        <v>27.45</v>
      </c>
      <c r="U226" s="61">
        <f t="shared" si="567"/>
        <v>52.55</v>
      </c>
      <c r="V226" s="61"/>
      <c r="W226" s="61">
        <f t="shared" si="568"/>
        <v>53.600881571728131</v>
      </c>
      <c r="X226" s="61">
        <f t="shared" si="579"/>
        <v>35.235017937930365</v>
      </c>
      <c r="Y226" s="61">
        <f t="shared" ref="Y226:Y228" si="580">SQRT(X226*X226+U226*U226)</f>
        <v>63.269336878825229</v>
      </c>
      <c r="Z226" s="69">
        <f t="shared" ref="Z226:Z228" si="581">DEGREES(ASIN(X226/Y226))</f>
        <v>33.84203553914503</v>
      </c>
      <c r="AA226" s="69">
        <f t="shared" si="538"/>
        <v>36.842035625131309</v>
      </c>
      <c r="AB226" s="4">
        <f t="shared" si="539"/>
        <v>70.684071164276332</v>
      </c>
      <c r="AC226" s="70">
        <f t="shared" si="569"/>
        <v>0.98333372809463526</v>
      </c>
      <c r="AD226" s="69">
        <f t="shared" si="557"/>
        <v>112.955889758325</v>
      </c>
      <c r="AE226" s="71">
        <f t="shared" si="570"/>
        <v>1.8455302128724327</v>
      </c>
      <c r="AF226" s="59"/>
      <c r="AG226" s="128">
        <f t="shared" si="558"/>
        <v>86.5</v>
      </c>
      <c r="AH226" s="128">
        <f t="shared" si="542"/>
        <v>0.98333372809463526</v>
      </c>
      <c r="AI226" s="128">
        <f t="shared" si="559"/>
        <v>0.86219648477781163</v>
      </c>
      <c r="AJ226" s="128">
        <f t="shared" si="543"/>
        <v>1.8455302128724327</v>
      </c>
      <c r="AK226" s="128">
        <f t="shared" si="560"/>
        <v>4.0267202823415289</v>
      </c>
      <c r="AL226" s="59"/>
      <c r="AM226" s="134">
        <f t="shared" si="571"/>
        <v>-1.7045454545454586E-2</v>
      </c>
      <c r="AN226" s="135">
        <f t="shared" si="572"/>
        <v>1.4107938656961583E-2</v>
      </c>
      <c r="AO226" s="135">
        <f t="shared" si="573"/>
        <v>2.0821162832702633E-2</v>
      </c>
      <c r="AP226" s="134">
        <f t="shared" si="574"/>
        <v>1.6609884266619579E-2</v>
      </c>
      <c r="AQ226" s="134">
        <f t="shared" si="575"/>
        <v>0</v>
      </c>
    </row>
    <row r="227" spans="1:43">
      <c r="A227" s="59"/>
      <c r="B227" s="20">
        <f t="shared" si="549"/>
        <v>183</v>
      </c>
      <c r="C227" s="18">
        <f t="shared" si="563"/>
        <v>162.89629500000001</v>
      </c>
      <c r="D227" s="63">
        <f t="shared" si="530"/>
        <v>30.381328505496555</v>
      </c>
      <c r="E227" s="20">
        <f t="shared" si="550"/>
        <v>86</v>
      </c>
      <c r="F227" s="63">
        <f t="shared" si="550"/>
        <v>160</v>
      </c>
      <c r="G227" s="20">
        <f t="shared" si="564"/>
        <v>16</v>
      </c>
      <c r="H227" s="69">
        <f t="shared" si="551"/>
        <v>42.568447779882817</v>
      </c>
      <c r="I227" s="69">
        <f t="shared" si="565"/>
        <v>1.1588256706119608</v>
      </c>
      <c r="J227" s="61"/>
      <c r="K227" s="63"/>
      <c r="L227" s="62">
        <f t="shared" si="533"/>
        <v>59.529404498953291</v>
      </c>
      <c r="M227" s="62">
        <f t="shared" si="566"/>
        <v>0</v>
      </c>
      <c r="N227" s="63"/>
      <c r="O227" s="63"/>
      <c r="P227" s="23">
        <f t="shared" si="576"/>
        <v>1</v>
      </c>
      <c r="Q227" s="20">
        <f t="shared" si="535"/>
        <v>183</v>
      </c>
      <c r="R227" s="23">
        <f t="shared" si="576"/>
        <v>0.3</v>
      </c>
      <c r="S227" s="61">
        <f t="shared" si="577"/>
        <v>54.9</v>
      </c>
      <c r="T227" s="61">
        <f t="shared" si="578"/>
        <v>27.45</v>
      </c>
      <c r="U227" s="61">
        <f t="shared" si="567"/>
        <v>52.55</v>
      </c>
      <c r="V227" s="61"/>
      <c r="W227" s="61">
        <f t="shared" si="568"/>
        <v>53.600881571728131</v>
      </c>
      <c r="X227" s="61">
        <f t="shared" si="579"/>
        <v>35.235017937930365</v>
      </c>
      <c r="Y227" s="61">
        <f t="shared" si="580"/>
        <v>63.269336878825229</v>
      </c>
      <c r="Z227" s="69">
        <f t="shared" si="581"/>
        <v>33.84203553914503</v>
      </c>
      <c r="AA227" s="69">
        <f t="shared" si="538"/>
        <v>37.163623200598764</v>
      </c>
      <c r="AB227" s="4">
        <f t="shared" si="539"/>
        <v>71.005658739743794</v>
      </c>
      <c r="AC227" s="70">
        <f t="shared" si="569"/>
        <v>1.3049213035620966</v>
      </c>
      <c r="AD227" s="69">
        <f t="shared" si="557"/>
        <v>113.57410651962661</v>
      </c>
      <c r="AE227" s="71">
        <f t="shared" si="570"/>
        <v>2.4637469741740432</v>
      </c>
      <c r="AF227" s="59"/>
      <c r="AG227" s="128">
        <f t="shared" si="558"/>
        <v>86</v>
      </c>
      <c r="AH227" s="128">
        <f t="shared" si="542"/>
        <v>1.3049213035620966</v>
      </c>
      <c r="AI227" s="128">
        <f t="shared" si="559"/>
        <v>1.1588256706119608</v>
      </c>
      <c r="AJ227" s="128">
        <f t="shared" si="543"/>
        <v>2.4637469741740432</v>
      </c>
      <c r="AK227" s="128">
        <f t="shared" si="560"/>
        <v>5.3813285054965547</v>
      </c>
      <c r="AL227" s="59"/>
      <c r="AM227" s="134">
        <f t="shared" si="571"/>
        <v>-2.2727272727272707E-2</v>
      </c>
      <c r="AN227" s="135">
        <f t="shared" si="572"/>
        <v>1.8721771842900248E-2</v>
      </c>
      <c r="AO227" s="135">
        <f t="shared" si="573"/>
        <v>2.7984454133729519E-2</v>
      </c>
      <c r="AP227" s="134">
        <f t="shared" si="574"/>
        <v>2.2173872753658008E-2</v>
      </c>
      <c r="AQ227" s="134">
        <f t="shared" si="575"/>
        <v>0</v>
      </c>
    </row>
    <row r="228" spans="1:43">
      <c r="A228" s="59"/>
      <c r="B228" s="20">
        <f t="shared" si="549"/>
        <v>183</v>
      </c>
      <c r="C228" s="18">
        <f t="shared" si="563"/>
        <v>162.89629500000001</v>
      </c>
      <c r="D228" s="63">
        <f t="shared" si="530"/>
        <v>31.742446616193376</v>
      </c>
      <c r="E228" s="20">
        <f t="shared" si="550"/>
        <v>85.5</v>
      </c>
      <c r="F228" s="63">
        <f t="shared" si="550"/>
        <v>160</v>
      </c>
      <c r="G228" s="20">
        <f t="shared" si="564"/>
        <v>15</v>
      </c>
      <c r="H228" s="69">
        <f t="shared" si="551"/>
        <v>42.869908870582812</v>
      </c>
      <c r="I228" s="69">
        <f t="shared" si="565"/>
        <v>1.4602867613119557</v>
      </c>
      <c r="J228" s="61"/>
      <c r="K228" s="63"/>
      <c r="L228" s="62">
        <f t="shared" si="533"/>
        <v>59.529404498953276</v>
      </c>
      <c r="M228" s="62">
        <f t="shared" si="566"/>
        <v>0</v>
      </c>
      <c r="N228" s="63"/>
      <c r="O228" s="63"/>
      <c r="P228" s="23">
        <f t="shared" si="576"/>
        <v>1</v>
      </c>
      <c r="Q228" s="20">
        <f t="shared" si="535"/>
        <v>183</v>
      </c>
      <c r="R228" s="23">
        <f t="shared" si="576"/>
        <v>0.3</v>
      </c>
      <c r="S228" s="61">
        <f t="shared" si="577"/>
        <v>54.9</v>
      </c>
      <c r="T228" s="61">
        <f t="shared" si="578"/>
        <v>27.45</v>
      </c>
      <c r="U228" s="61">
        <f>U$223</f>
        <v>52.55</v>
      </c>
      <c r="V228" s="61"/>
      <c r="W228" s="61">
        <f t="shared" si="568"/>
        <v>53.600881571728131</v>
      </c>
      <c r="X228" s="61">
        <f t="shared" si="579"/>
        <v>35.235017937930365</v>
      </c>
      <c r="Y228" s="61">
        <f t="shared" si="580"/>
        <v>63.269336878825229</v>
      </c>
      <c r="Z228" s="69">
        <f t="shared" si="581"/>
        <v>33.84203553914503</v>
      </c>
      <c r="AA228" s="69">
        <f t="shared" si="538"/>
        <v>37.482230142638606</v>
      </c>
      <c r="AB228" s="4">
        <f t="shared" si="539"/>
        <v>71.324265681783629</v>
      </c>
      <c r="AC228" s="70">
        <f t="shared" si="569"/>
        <v>1.623528245601932</v>
      </c>
      <c r="AD228" s="69">
        <f t="shared" si="557"/>
        <v>114.19417455236643</v>
      </c>
      <c r="AE228" s="71">
        <f t="shared" si="570"/>
        <v>3.0838150069138663</v>
      </c>
      <c r="AF228" s="59"/>
      <c r="AG228" s="128">
        <f t="shared" si="558"/>
        <v>85.5</v>
      </c>
      <c r="AH228" s="128">
        <f t="shared" si="542"/>
        <v>1.623528245601932</v>
      </c>
      <c r="AI228" s="128">
        <f t="shared" si="559"/>
        <v>1.4602867613119557</v>
      </c>
      <c r="AJ228" s="128">
        <f t="shared" si="543"/>
        <v>3.0838150069138663</v>
      </c>
      <c r="AK228" s="128">
        <f t="shared" si="560"/>
        <v>6.7424466161933765</v>
      </c>
      <c r="AL228" s="59"/>
      <c r="AM228" s="134">
        <f t="shared" si="571"/>
        <v>-2.8409090909090939E-2</v>
      </c>
      <c r="AN228" s="135">
        <f t="shared" si="572"/>
        <v>2.3292841730526037E-2</v>
      </c>
      <c r="AO228" s="135">
        <f t="shared" si="573"/>
        <v>3.5264430992839824E-2</v>
      </c>
      <c r="AP228" s="134">
        <f t="shared" si="574"/>
        <v>2.7754522796340719E-2</v>
      </c>
      <c r="AQ228" s="134">
        <f t="shared" si="575"/>
        <v>0</v>
      </c>
    </row>
    <row r="229" spans="1:43">
      <c r="A229" s="12"/>
      <c r="B229" s="5"/>
      <c r="C229" s="13"/>
      <c r="D229" s="13"/>
      <c r="E229" s="5"/>
      <c r="F229" s="13"/>
      <c r="G229" s="5"/>
      <c r="H229" s="104"/>
      <c r="I229" s="104"/>
      <c r="J229" s="13"/>
      <c r="K229" s="13"/>
      <c r="L229" s="13"/>
      <c r="M229" s="13"/>
      <c r="N229" s="13"/>
      <c r="O229" s="13"/>
      <c r="P229" s="103"/>
      <c r="Q229" s="5"/>
      <c r="R229" s="103"/>
      <c r="S229" s="13"/>
      <c r="T229" s="13"/>
      <c r="U229" s="13"/>
      <c r="V229" s="13"/>
      <c r="W229" s="13"/>
      <c r="X229" s="13"/>
      <c r="Y229" s="13"/>
      <c r="Z229" s="104"/>
      <c r="AA229" s="104"/>
      <c r="AB229" s="104"/>
      <c r="AC229" s="109"/>
      <c r="AD229" s="104"/>
      <c r="AE229" s="109"/>
      <c r="AF229" s="12"/>
      <c r="AG229" s="131"/>
      <c r="AH229" s="131"/>
      <c r="AI229" s="131"/>
      <c r="AJ229" s="131"/>
      <c r="AK229" s="131"/>
      <c r="AL229" s="12"/>
      <c r="AM229" s="152"/>
      <c r="AN229" s="153"/>
      <c r="AO229" s="153"/>
      <c r="AP229" s="152"/>
      <c r="AQ229" s="152"/>
    </row>
    <row r="230" spans="1:43" ht="15.75" thickBot="1">
      <c r="A230" s="87"/>
      <c r="B230" s="87"/>
      <c r="C230" s="100"/>
      <c r="D230" s="100"/>
      <c r="E230" s="87"/>
      <c r="F230" s="100"/>
      <c r="G230" s="87"/>
      <c r="H230" s="101"/>
      <c r="I230" s="101"/>
      <c r="J230" s="100"/>
      <c r="K230" s="100"/>
      <c r="L230" s="100"/>
      <c r="M230" s="100"/>
      <c r="N230" s="100"/>
      <c r="O230" s="100"/>
      <c r="P230" s="106"/>
      <c r="Q230" s="87"/>
      <c r="R230" s="106"/>
      <c r="S230" s="100"/>
      <c r="T230" s="100"/>
      <c r="U230" s="100"/>
      <c r="V230" s="100"/>
      <c r="W230" s="100"/>
      <c r="X230" s="100"/>
      <c r="Y230" s="100"/>
      <c r="Z230" s="101"/>
      <c r="AA230" s="101"/>
      <c r="AB230" s="101"/>
      <c r="AC230" s="113"/>
      <c r="AD230" s="101"/>
      <c r="AE230" s="113"/>
      <c r="AF230" s="87"/>
      <c r="AG230" s="154"/>
      <c r="AH230" s="154"/>
      <c r="AI230" s="154"/>
      <c r="AJ230" s="154"/>
      <c r="AK230" s="154"/>
      <c r="AL230" s="87"/>
      <c r="AM230" s="155"/>
      <c r="AN230" s="156"/>
      <c r="AO230" s="156"/>
      <c r="AP230" s="155"/>
      <c r="AQ230" s="155"/>
    </row>
    <row r="231" spans="1:43">
      <c r="A231" s="15" t="s">
        <v>116</v>
      </c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59"/>
      <c r="AB231" s="59"/>
      <c r="AC231" s="59"/>
      <c r="AD231" s="59"/>
      <c r="AE231" s="59"/>
      <c r="AF231" s="59"/>
      <c r="AG231" s="59" t="s">
        <v>110</v>
      </c>
      <c r="AH231" s="59"/>
      <c r="AI231" s="59"/>
      <c r="AJ231" s="59"/>
      <c r="AK231" s="59"/>
      <c r="AL231" s="59"/>
      <c r="AM231" s="59"/>
      <c r="AN231" s="59"/>
      <c r="AO231" s="59"/>
      <c r="AP231" s="59"/>
      <c r="AQ231" s="59"/>
    </row>
    <row r="232" spans="1:43">
      <c r="A232" s="2" t="s">
        <v>107</v>
      </c>
      <c r="B232" s="2"/>
      <c r="C232" s="2"/>
      <c r="D232" s="20">
        <v>0</v>
      </c>
      <c r="E232" s="60">
        <v>0</v>
      </c>
      <c r="F232" s="60">
        <v>0</v>
      </c>
      <c r="G232" s="59"/>
      <c r="H232" s="60">
        <v>4</v>
      </c>
      <c r="I232" s="59"/>
      <c r="J232" s="59"/>
      <c r="K232" s="59"/>
      <c r="L232" s="59"/>
      <c r="M232" s="59"/>
      <c r="N232" s="59"/>
      <c r="O232" s="59"/>
      <c r="P232" s="2" t="s">
        <v>52</v>
      </c>
      <c r="Q232" s="2"/>
      <c r="R232" s="2"/>
      <c r="S232" s="138"/>
      <c r="T232" s="138"/>
      <c r="U232" s="59"/>
      <c r="V232" s="59"/>
      <c r="W232" s="59"/>
      <c r="X232" s="59"/>
      <c r="Y232" s="59"/>
      <c r="Z232" s="59"/>
      <c r="AA232" s="59"/>
      <c r="AB232" s="59"/>
      <c r="AC232" s="59"/>
      <c r="AD232" s="59"/>
      <c r="AE232" s="59"/>
      <c r="AF232" s="59"/>
      <c r="AG232" s="59"/>
      <c r="AH232" s="59"/>
      <c r="AI232" s="59"/>
      <c r="AJ232" s="59"/>
      <c r="AK232" s="59"/>
      <c r="AL232" s="59"/>
      <c r="AM232" s="59"/>
      <c r="AN232" s="59"/>
      <c r="AO232" s="59"/>
      <c r="AP232" s="59"/>
      <c r="AQ232" s="59"/>
    </row>
    <row r="233" spans="1:43" ht="135">
      <c r="A233" s="27"/>
      <c r="B233" s="28" t="s">
        <v>12</v>
      </c>
      <c r="C233" s="28" t="s">
        <v>8</v>
      </c>
      <c r="D233" s="65" t="s">
        <v>42</v>
      </c>
      <c r="E233" s="143" t="s">
        <v>3</v>
      </c>
      <c r="F233" s="143" t="s">
        <v>4</v>
      </c>
      <c r="G233" s="28" t="s">
        <v>41</v>
      </c>
      <c r="H233" s="65" t="s">
        <v>118</v>
      </c>
      <c r="I233" s="66" t="s">
        <v>1</v>
      </c>
      <c r="J233" s="66" t="s">
        <v>6</v>
      </c>
      <c r="K233" s="66" t="s">
        <v>5</v>
      </c>
      <c r="L233" s="35"/>
      <c r="M233" s="66" t="s">
        <v>21</v>
      </c>
      <c r="N233" s="66" t="s">
        <v>20</v>
      </c>
      <c r="O233" s="66" t="s">
        <v>22</v>
      </c>
      <c r="P233" s="31" t="s">
        <v>49</v>
      </c>
      <c r="Q233" s="59"/>
      <c r="R233" s="28" t="s">
        <v>18</v>
      </c>
      <c r="S233" s="28" t="s">
        <v>19</v>
      </c>
      <c r="T233" s="73" t="s">
        <v>83</v>
      </c>
      <c r="U233" s="27"/>
      <c r="V233" s="27"/>
      <c r="W233" s="27"/>
      <c r="X233" s="35"/>
      <c r="Y233" s="35"/>
      <c r="Z233" s="35"/>
      <c r="AA233" s="35"/>
      <c r="AB233" s="35"/>
      <c r="AC233" s="35"/>
      <c r="AD233" s="35"/>
      <c r="AE233" s="35"/>
      <c r="AF233" s="35"/>
      <c r="AG233" s="28" t="str">
        <f>H233</f>
        <v>Stretcher movement to stern (cm)</v>
      </c>
      <c r="AH233" s="28" t="s">
        <v>113</v>
      </c>
      <c r="AI233" s="28" t="s">
        <v>114</v>
      </c>
      <c r="AJ233" s="28" t="s">
        <v>115</v>
      </c>
      <c r="AK233" s="28" t="str">
        <f>T233</f>
        <v>change in distance between handles (cm / cm)</v>
      </c>
      <c r="AL233" s="59"/>
      <c r="AM233" s="59"/>
      <c r="AN233" s="59"/>
      <c r="AO233" s="59"/>
      <c r="AP233" s="59"/>
      <c r="AQ233" s="59"/>
    </row>
    <row r="234" spans="1:43">
      <c r="A234" s="59"/>
      <c r="B234" s="20">
        <f>B$177</f>
        <v>183</v>
      </c>
      <c r="C234" s="63">
        <f t="shared" ref="C234:C237" si="582">C$177</f>
        <v>162.89629500000001</v>
      </c>
      <c r="D234" s="63">
        <f t="shared" ref="D234:D237" si="583">2*(F234/2-(E234+2)*(COS(RADIANS(I234))))</f>
        <v>-1.7087032903069428</v>
      </c>
      <c r="E234" s="140">
        <f t="shared" ref="E234" si="584">5*E232+E239</f>
        <v>88</v>
      </c>
      <c r="F234" s="140">
        <f>5*F232+F239</f>
        <v>160</v>
      </c>
      <c r="G234" s="63">
        <f t="shared" ref="G234:G238" si="585">(E234+2)*2 -F234</f>
        <v>20</v>
      </c>
      <c r="H234" s="63">
        <f>5*H232+H239</f>
        <v>20</v>
      </c>
      <c r="I234" s="9">
        <f t="shared" ref="I234:I237" si="586">DEGREES(ASIN((P234)/(E234+2)))</f>
        <v>26.05384439398285</v>
      </c>
      <c r="J234" s="9">
        <f t="shared" ref="J234:J244" si="587">DEGREES(C234/(E234-6+2))</f>
        <v>111.11035954545257</v>
      </c>
      <c r="K234" s="9">
        <f t="shared" ref="K234:K238" si="588">J234-I234</f>
        <v>85.056515151469711</v>
      </c>
      <c r="L234" s="59"/>
      <c r="M234" s="84">
        <f t="shared" ref="M234:M244" si="589">K234-K$177</f>
        <v>15.355777715287999</v>
      </c>
      <c r="N234" s="84">
        <f t="shared" ref="N234:O244" si="590">I234-I$177</f>
        <v>-15.355777715288006</v>
      </c>
      <c r="O234" s="84">
        <f t="shared" si="590"/>
        <v>0</v>
      </c>
      <c r="P234" s="62">
        <f t="shared" ref="P234:P237" si="591">P$239-H234</f>
        <v>39.529404498953284</v>
      </c>
      <c r="Q234" s="59"/>
      <c r="R234" s="49">
        <f t="shared" ref="R234:R244" si="592">(E234+2)*SIN(RADIANS(K234))</f>
        <v>89.665216357272357</v>
      </c>
      <c r="S234" s="49">
        <f t="shared" ref="S234:S244" si="593">(F234/2)- (E234+2)*COS(RADIANS(K234))</f>
        <v>72.244422935490945</v>
      </c>
      <c r="T234" s="61">
        <f t="shared" ref="T234:T238" si="594">D234-D$177</f>
        <v>-26.708703290306943</v>
      </c>
      <c r="U234" s="59"/>
      <c r="V234" s="59"/>
      <c r="W234" s="59"/>
      <c r="X234" s="59"/>
      <c r="Y234" s="59"/>
      <c r="Z234" s="59"/>
      <c r="AA234" s="59"/>
      <c r="AB234" s="59"/>
      <c r="AC234" s="59"/>
      <c r="AD234" s="59"/>
      <c r="AE234" s="59"/>
      <c r="AF234" s="59"/>
      <c r="AG234" s="128">
        <f>H234</f>
        <v>20</v>
      </c>
      <c r="AH234" s="128">
        <f>M234</f>
        <v>15.355777715287999</v>
      </c>
      <c r="AI234" s="128">
        <f>N234</f>
        <v>-15.355777715288006</v>
      </c>
      <c r="AJ234" s="128">
        <f t="shared" ref="AJ234:AJ244" si="595">O234</f>
        <v>0</v>
      </c>
      <c r="AK234" s="128">
        <f>T234</f>
        <v>-26.708703290306943</v>
      </c>
      <c r="AL234" s="59"/>
      <c r="AM234" s="59"/>
      <c r="AN234" s="59"/>
      <c r="AO234" s="59"/>
      <c r="AP234" s="59"/>
      <c r="AQ234" s="59"/>
    </row>
    <row r="235" spans="1:43">
      <c r="A235" s="59"/>
      <c r="B235" s="20">
        <f t="shared" ref="B235:B238" si="596">B$177</f>
        <v>183</v>
      </c>
      <c r="C235" s="63">
        <f t="shared" si="582"/>
        <v>162.89629500000001</v>
      </c>
      <c r="D235" s="63">
        <f t="shared" si="583"/>
        <v>2.453931258612414</v>
      </c>
      <c r="E235" s="140">
        <f t="shared" ref="E235" si="597">4*E232+E239</f>
        <v>88</v>
      </c>
      <c r="F235" s="140">
        <f>4*F232+F239</f>
        <v>160</v>
      </c>
      <c r="G235" s="63">
        <f t="shared" si="585"/>
        <v>20</v>
      </c>
      <c r="H235" s="63">
        <f>4*H232+H239</f>
        <v>16</v>
      </c>
      <c r="I235" s="9">
        <f t="shared" si="586"/>
        <v>28.924719776786937</v>
      </c>
      <c r="J235" s="9">
        <f t="shared" si="587"/>
        <v>111.11035954545257</v>
      </c>
      <c r="K235" s="9">
        <f t="shared" si="588"/>
        <v>82.185639768665624</v>
      </c>
      <c r="L235" s="59"/>
      <c r="M235" s="84">
        <f t="shared" si="589"/>
        <v>12.484902332483912</v>
      </c>
      <c r="N235" s="84">
        <f t="shared" si="590"/>
        <v>-12.484902332483919</v>
      </c>
      <c r="O235" s="84">
        <f t="shared" si="590"/>
        <v>0</v>
      </c>
      <c r="P235" s="62">
        <f t="shared" si="591"/>
        <v>43.529404498953284</v>
      </c>
      <c r="Q235" s="59"/>
      <c r="R235" s="49">
        <f t="shared" si="592"/>
        <v>89.164241505866258</v>
      </c>
      <c r="S235" s="49">
        <f t="shared" si="593"/>
        <v>67.76325056710084</v>
      </c>
      <c r="T235" s="61">
        <f t="shared" si="594"/>
        <v>-22.546068741387586</v>
      </c>
      <c r="U235" s="59"/>
      <c r="V235" s="59"/>
      <c r="W235" s="59"/>
      <c r="X235" s="59"/>
      <c r="Y235" s="59"/>
      <c r="Z235" s="59"/>
      <c r="AA235" s="59"/>
      <c r="AB235" s="59"/>
      <c r="AC235" s="59"/>
      <c r="AD235" s="59"/>
      <c r="AE235" s="59"/>
      <c r="AF235" s="59"/>
      <c r="AG235" s="128">
        <f t="shared" ref="AG235:AG244" si="598">H235</f>
        <v>16</v>
      </c>
      <c r="AH235" s="128">
        <f t="shared" ref="AH235:AI244" si="599">M235</f>
        <v>12.484902332483912</v>
      </c>
      <c r="AI235" s="128">
        <f t="shared" si="599"/>
        <v>-12.484902332483919</v>
      </c>
      <c r="AJ235" s="128">
        <f t="shared" si="595"/>
        <v>0</v>
      </c>
      <c r="AK235" s="128">
        <f t="shared" ref="AK235:AK244" si="600">T235</f>
        <v>-22.546068741387586</v>
      </c>
      <c r="AL235" s="59"/>
      <c r="AM235" s="59"/>
      <c r="AN235" s="59"/>
      <c r="AO235" s="59"/>
      <c r="AP235" s="59"/>
      <c r="AQ235" s="59"/>
    </row>
    <row r="236" spans="1:43">
      <c r="A236" s="59"/>
      <c r="B236" s="20">
        <f t="shared" si="596"/>
        <v>183</v>
      </c>
      <c r="C236" s="63">
        <f t="shared" si="582"/>
        <v>162.89629500000001</v>
      </c>
      <c r="D236" s="63">
        <f t="shared" si="583"/>
        <v>7.1477091048370482</v>
      </c>
      <c r="E236" s="140">
        <f t="shared" ref="E236" si="601">3*E232+E239</f>
        <v>88</v>
      </c>
      <c r="F236" s="140">
        <f>3*F232+F239</f>
        <v>160</v>
      </c>
      <c r="G236" s="63">
        <f t="shared" si="585"/>
        <v>20</v>
      </c>
      <c r="H236" s="63">
        <f>3*H232+H239</f>
        <v>12</v>
      </c>
      <c r="I236" s="9">
        <f t="shared" si="586"/>
        <v>31.877472393847963</v>
      </c>
      <c r="J236" s="9">
        <f t="shared" si="587"/>
        <v>111.11035954545257</v>
      </c>
      <c r="K236" s="9">
        <f t="shared" si="588"/>
        <v>79.232887151604601</v>
      </c>
      <c r="L236" s="59"/>
      <c r="M236" s="84">
        <f t="shared" si="589"/>
        <v>9.5321497154228894</v>
      </c>
      <c r="N236" s="84">
        <f t="shared" si="590"/>
        <v>-9.5321497154228929</v>
      </c>
      <c r="O236" s="84">
        <f t="shared" si="590"/>
        <v>0</v>
      </c>
      <c r="P236" s="62">
        <f t="shared" si="591"/>
        <v>47.529404498953284</v>
      </c>
      <c r="Q236" s="59"/>
      <c r="R236" s="49">
        <f t="shared" si="592"/>
        <v>88.415517936306074</v>
      </c>
      <c r="S236" s="49">
        <f t="shared" si="593"/>
        <v>63.186428456311262</v>
      </c>
      <c r="T236" s="61">
        <f t="shared" si="594"/>
        <v>-17.852290895162952</v>
      </c>
      <c r="U236" s="59"/>
      <c r="V236" s="59"/>
      <c r="W236" s="59"/>
      <c r="X236" s="59"/>
      <c r="Y236" s="59"/>
      <c r="Z236" s="59"/>
      <c r="AA236" s="59"/>
      <c r="AB236" s="59"/>
      <c r="AC236" s="59"/>
      <c r="AD236" s="59"/>
      <c r="AE236" s="59"/>
      <c r="AF236" s="59"/>
      <c r="AG236" s="128">
        <f t="shared" si="598"/>
        <v>12</v>
      </c>
      <c r="AH236" s="128">
        <f t="shared" si="599"/>
        <v>9.5321497154228894</v>
      </c>
      <c r="AI236" s="128">
        <f t="shared" si="599"/>
        <v>-9.5321497154228929</v>
      </c>
      <c r="AJ236" s="128">
        <f t="shared" si="595"/>
        <v>0</v>
      </c>
      <c r="AK236" s="128">
        <f t="shared" si="600"/>
        <v>-17.852290895162952</v>
      </c>
      <c r="AL236" s="59"/>
      <c r="AM236" s="59"/>
      <c r="AN236" s="59"/>
      <c r="AO236" s="59"/>
      <c r="AP236" s="59"/>
      <c r="AQ236" s="59"/>
    </row>
    <row r="237" spans="1:43">
      <c r="A237" s="59"/>
      <c r="B237" s="20">
        <f t="shared" si="596"/>
        <v>183</v>
      </c>
      <c r="C237" s="63">
        <f t="shared" si="582"/>
        <v>162.89629500000001</v>
      </c>
      <c r="D237" s="63">
        <f t="shared" si="583"/>
        <v>12.423301676948284</v>
      </c>
      <c r="E237" s="140">
        <f t="shared" ref="E237" si="602">2*E232+E239</f>
        <v>88</v>
      </c>
      <c r="F237" s="140">
        <f>2*F232+F239</f>
        <v>160</v>
      </c>
      <c r="G237" s="63">
        <f t="shared" si="585"/>
        <v>20</v>
      </c>
      <c r="H237" s="63">
        <f>2*H232+H239</f>
        <v>8</v>
      </c>
      <c r="I237" s="9">
        <f t="shared" si="586"/>
        <v>34.928162965737663</v>
      </c>
      <c r="J237" s="9">
        <f t="shared" si="587"/>
        <v>111.11035954545257</v>
      </c>
      <c r="K237" s="9">
        <f t="shared" si="588"/>
        <v>76.182196579714912</v>
      </c>
      <c r="L237" s="59"/>
      <c r="M237" s="84">
        <f t="shared" si="589"/>
        <v>6.4814591435332005</v>
      </c>
      <c r="N237" s="84">
        <f t="shared" si="590"/>
        <v>-6.4814591435331934</v>
      </c>
      <c r="O237" s="84">
        <f t="shared" si="590"/>
        <v>0</v>
      </c>
      <c r="P237" s="62">
        <f t="shared" si="591"/>
        <v>51.529404498953284</v>
      </c>
      <c r="Q237" s="59"/>
      <c r="R237" s="49">
        <f t="shared" si="592"/>
        <v>87.395410253884279</v>
      </c>
      <c r="S237" s="49">
        <f t="shared" si="593"/>
        <v>58.504831553224399</v>
      </c>
      <c r="T237" s="61">
        <f t="shared" si="594"/>
        <v>-12.576698323051716</v>
      </c>
      <c r="U237" s="59"/>
      <c r="V237" s="59"/>
      <c r="W237" s="59"/>
      <c r="X237" s="59"/>
      <c r="Y237" s="59"/>
      <c r="Z237" s="59"/>
      <c r="AA237" s="59"/>
      <c r="AB237" s="59"/>
      <c r="AC237" s="59"/>
      <c r="AD237" s="59"/>
      <c r="AE237" s="59"/>
      <c r="AF237" s="59"/>
      <c r="AG237" s="128">
        <f t="shared" si="598"/>
        <v>8</v>
      </c>
      <c r="AH237" s="128">
        <f t="shared" si="599"/>
        <v>6.4814591435332005</v>
      </c>
      <c r="AI237" s="128">
        <f t="shared" si="599"/>
        <v>-6.4814591435331934</v>
      </c>
      <c r="AJ237" s="128">
        <f t="shared" si="595"/>
        <v>0</v>
      </c>
      <c r="AK237" s="128">
        <f t="shared" si="600"/>
        <v>-12.576698323051716</v>
      </c>
      <c r="AL237" s="59"/>
      <c r="AM237" s="59"/>
      <c r="AN237" s="59"/>
      <c r="AO237" s="59"/>
      <c r="AP237" s="59"/>
      <c r="AQ237" s="59"/>
    </row>
    <row r="238" spans="1:43">
      <c r="A238" s="59"/>
      <c r="B238" s="20">
        <f t="shared" si="596"/>
        <v>183</v>
      </c>
      <c r="C238" s="63">
        <f>C$177</f>
        <v>162.89629500000001</v>
      </c>
      <c r="D238" s="63">
        <f>2*(F238/2-(E238+2)*(COS(RADIANS(I238))))</f>
        <v>18.345699168833903</v>
      </c>
      <c r="E238" s="140">
        <f t="shared" ref="E238" si="603">E239+E232</f>
        <v>88</v>
      </c>
      <c r="F238" s="140">
        <f>F239+F232</f>
        <v>160</v>
      </c>
      <c r="G238" s="63">
        <f t="shared" si="585"/>
        <v>20</v>
      </c>
      <c r="H238" s="63">
        <f>H239+H232</f>
        <v>4</v>
      </c>
      <c r="I238" s="9">
        <f>DEGREES(ASIN((P238)/(E238+2)))</f>
        <v>38.096906287950638</v>
      </c>
      <c r="J238" s="9">
        <f t="shared" si="587"/>
        <v>111.11035954545257</v>
      </c>
      <c r="K238" s="9">
        <f t="shared" si="588"/>
        <v>73.013453257501936</v>
      </c>
      <c r="L238" s="59"/>
      <c r="M238" s="84">
        <f t="shared" si="589"/>
        <v>3.312715821320225</v>
      </c>
      <c r="N238" s="84">
        <f t="shared" si="590"/>
        <v>-3.3127158213202179</v>
      </c>
      <c r="O238" s="84">
        <f t="shared" si="590"/>
        <v>0</v>
      </c>
      <c r="P238" s="62">
        <f>P$239-H238</f>
        <v>55.529404498953284</v>
      </c>
      <c r="Q238" s="59"/>
      <c r="R238" s="49">
        <f t="shared" si="592"/>
        <v>86.073604158655911</v>
      </c>
      <c r="S238" s="49">
        <f t="shared" si="593"/>
        <v>53.7067562453962</v>
      </c>
      <c r="T238" s="61">
        <f t="shared" si="594"/>
        <v>-6.6543008311660969</v>
      </c>
      <c r="U238" s="59"/>
      <c r="V238" s="59"/>
      <c r="W238" s="59"/>
      <c r="X238" s="59"/>
      <c r="Y238" s="59"/>
      <c r="Z238" s="59"/>
      <c r="AA238" s="59"/>
      <c r="AB238" s="59"/>
      <c r="AC238" s="59"/>
      <c r="AD238" s="59"/>
      <c r="AE238" s="59"/>
      <c r="AF238" s="59"/>
      <c r="AG238" s="128">
        <f t="shared" si="598"/>
        <v>4</v>
      </c>
      <c r="AH238" s="128">
        <f t="shared" si="599"/>
        <v>3.312715821320225</v>
      </c>
      <c r="AI238" s="128">
        <f t="shared" si="599"/>
        <v>-3.3127158213202179</v>
      </c>
      <c r="AJ238" s="128">
        <f t="shared" si="595"/>
        <v>0</v>
      </c>
      <c r="AK238" s="128">
        <f t="shared" si="600"/>
        <v>-6.6543008311660969</v>
      </c>
      <c r="AL238" s="59"/>
      <c r="AM238" s="59"/>
      <c r="AN238" s="59"/>
      <c r="AO238" s="59"/>
      <c r="AP238" s="59"/>
      <c r="AQ238" s="59"/>
    </row>
    <row r="239" spans="1:43">
      <c r="A239" s="15"/>
      <c r="B239" s="36">
        <v>183</v>
      </c>
      <c r="C239" s="40">
        <f>100*(0.297865*B239/100+1.08387)</f>
        <v>162.89629500000001</v>
      </c>
      <c r="D239" s="147">
        <v>25</v>
      </c>
      <c r="E239" s="147">
        <v>88</v>
      </c>
      <c r="F239" s="147">
        <v>160</v>
      </c>
      <c r="G239" s="40">
        <f>(E239+2)*2 -F239</f>
        <v>20</v>
      </c>
      <c r="H239" s="147">
        <v>0</v>
      </c>
      <c r="I239" s="44">
        <f t="shared" ref="I239" si="604">DEGREES(ACOS((F239-D239)/2/(E239+2)))</f>
        <v>41.409622109270856</v>
      </c>
      <c r="J239" s="44">
        <f t="shared" si="587"/>
        <v>111.11035954545257</v>
      </c>
      <c r="K239" s="44">
        <f>J239-I239</f>
        <v>69.700737436181711</v>
      </c>
      <c r="L239" s="15"/>
      <c r="M239" s="44">
        <f t="shared" si="589"/>
        <v>0</v>
      </c>
      <c r="N239" s="44">
        <f t="shared" si="590"/>
        <v>0</v>
      </c>
      <c r="O239" s="44">
        <f t="shared" si="590"/>
        <v>0</v>
      </c>
      <c r="P239" s="41">
        <f t="shared" ref="P239" si="605">((F239-D239)/2)*TAN(RADIANS(I239))</f>
        <v>59.529404498953284</v>
      </c>
      <c r="Q239" s="15"/>
      <c r="R239" s="39">
        <f t="shared" si="592"/>
        <v>84.410405985170328</v>
      </c>
      <c r="S239" s="39">
        <f t="shared" si="593"/>
        <v>48.776877775937891</v>
      </c>
      <c r="T239" s="39">
        <f>D239-D$177</f>
        <v>0</v>
      </c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48">
        <f t="shared" si="598"/>
        <v>0</v>
      </c>
      <c r="AH239" s="148">
        <f t="shared" si="599"/>
        <v>0</v>
      </c>
      <c r="AI239" s="148">
        <f t="shared" si="599"/>
        <v>0</v>
      </c>
      <c r="AJ239" s="148">
        <f t="shared" si="595"/>
        <v>0</v>
      </c>
      <c r="AK239" s="148">
        <f t="shared" si="600"/>
        <v>0</v>
      </c>
      <c r="AL239" s="15"/>
      <c r="AM239" s="15"/>
      <c r="AN239" s="15"/>
      <c r="AO239" s="15"/>
      <c r="AP239" s="15"/>
      <c r="AQ239" s="15"/>
    </row>
    <row r="240" spans="1:43">
      <c r="A240" s="59"/>
      <c r="B240" s="20">
        <f>B$177</f>
        <v>183</v>
      </c>
      <c r="C240" s="63">
        <f t="shared" ref="C240:C243" si="606">C$177</f>
        <v>162.89629500000001</v>
      </c>
      <c r="D240" s="63">
        <f t="shared" ref="D240:D243" si="607">2*(F240/2-(E240+2)*(COS(RADIANS(I240))))</f>
        <v>32.500748802067491</v>
      </c>
      <c r="E240" s="140">
        <f t="shared" ref="E240" si="608">E239-E232</f>
        <v>88</v>
      </c>
      <c r="F240" s="140">
        <f>F239-F232</f>
        <v>160</v>
      </c>
      <c r="G240" s="63">
        <f t="shared" ref="G240:G244" si="609">(E240+2)*2 -F240</f>
        <v>20</v>
      </c>
      <c r="H240" s="63">
        <f>H239-H232</f>
        <v>-4</v>
      </c>
      <c r="I240" s="9">
        <f t="shared" ref="I240:I243" si="610">DEGREES(ASIN((P240)/(E240+2)))</f>
        <v>44.900865625785613</v>
      </c>
      <c r="J240" s="9">
        <f t="shared" si="587"/>
        <v>111.11035954545257</v>
      </c>
      <c r="K240" s="9">
        <f t="shared" ref="K240:K244" si="611">J240-I240</f>
        <v>66.209493919666954</v>
      </c>
      <c r="L240" s="59"/>
      <c r="M240" s="84">
        <f t="shared" si="589"/>
        <v>-3.4912435165147571</v>
      </c>
      <c r="N240" s="84">
        <f t="shared" si="590"/>
        <v>3.4912435165147571</v>
      </c>
      <c r="O240" s="84">
        <f t="shared" si="590"/>
        <v>0</v>
      </c>
      <c r="P240" s="62">
        <f t="shared" ref="P240:P243" si="612">P$239-H240</f>
        <v>63.529404498953284</v>
      </c>
      <c r="Q240" s="59"/>
      <c r="R240" s="49">
        <f t="shared" si="592"/>
        <v>82.352387052693928</v>
      </c>
      <c r="S240" s="49">
        <f t="shared" si="593"/>
        <v>43.694568633284504</v>
      </c>
      <c r="T240" s="61">
        <f t="shared" ref="T240:T244" si="613">D240-D$177</f>
        <v>7.5007488020674913</v>
      </c>
      <c r="U240" s="59"/>
      <c r="V240" s="59"/>
      <c r="W240" s="59"/>
      <c r="X240" s="59"/>
      <c r="Y240" s="59"/>
      <c r="Z240" s="59"/>
      <c r="AA240" s="59"/>
      <c r="AB240" s="59"/>
      <c r="AC240" s="59"/>
      <c r="AD240" s="59"/>
      <c r="AE240" s="59"/>
      <c r="AF240" s="59"/>
      <c r="AG240" s="128">
        <f t="shared" si="598"/>
        <v>-4</v>
      </c>
      <c r="AH240" s="128">
        <f t="shared" si="599"/>
        <v>-3.4912435165147571</v>
      </c>
      <c r="AI240" s="128">
        <f t="shared" si="599"/>
        <v>3.4912435165147571</v>
      </c>
      <c r="AJ240" s="128">
        <f t="shared" si="595"/>
        <v>0</v>
      </c>
      <c r="AK240" s="128">
        <f t="shared" si="600"/>
        <v>7.5007488020674913</v>
      </c>
      <c r="AL240" s="59"/>
      <c r="AM240" s="59"/>
      <c r="AN240" s="59"/>
      <c r="AO240" s="59"/>
      <c r="AP240" s="59"/>
      <c r="AQ240" s="59"/>
    </row>
    <row r="241" spans="1:43">
      <c r="A241" s="59"/>
      <c r="B241" s="20">
        <f t="shared" ref="B241:B244" si="614">B$177</f>
        <v>183</v>
      </c>
      <c r="C241" s="63">
        <f t="shared" si="606"/>
        <v>162.89629500000001</v>
      </c>
      <c r="D241" s="63">
        <f t="shared" si="607"/>
        <v>41.007907354870866</v>
      </c>
      <c r="E241" s="140">
        <f t="shared" ref="E241" si="615">E239-2*E232</f>
        <v>88</v>
      </c>
      <c r="F241" s="140">
        <f>F239-2*F232</f>
        <v>160</v>
      </c>
      <c r="G241" s="63">
        <f t="shared" si="609"/>
        <v>20</v>
      </c>
      <c r="H241" s="63">
        <f>H239-2*H232</f>
        <v>-8</v>
      </c>
      <c r="I241" s="9">
        <f t="shared" si="610"/>
        <v>48.618687023655212</v>
      </c>
      <c r="J241" s="9">
        <f t="shared" si="587"/>
        <v>111.11035954545257</v>
      </c>
      <c r="K241" s="9">
        <f t="shared" si="611"/>
        <v>62.491672521797355</v>
      </c>
      <c r="L241" s="59"/>
      <c r="M241" s="84">
        <f t="shared" si="589"/>
        <v>-7.2090649143843564</v>
      </c>
      <c r="N241" s="84">
        <f t="shared" si="590"/>
        <v>7.2090649143843564</v>
      </c>
      <c r="O241" s="84">
        <f t="shared" si="590"/>
        <v>0</v>
      </c>
      <c r="P241" s="62">
        <f t="shared" si="612"/>
        <v>67.529404498953284</v>
      </c>
      <c r="Q241" s="59"/>
      <c r="R241" s="49">
        <f t="shared" si="592"/>
        <v>79.824934114465066</v>
      </c>
      <c r="S241" s="49">
        <f t="shared" si="593"/>
        <v>38.431022461199369</v>
      </c>
      <c r="T241" s="61">
        <f t="shared" si="613"/>
        <v>16.007907354870866</v>
      </c>
      <c r="U241" s="59"/>
      <c r="V241" s="59"/>
      <c r="W241" s="59"/>
      <c r="X241" s="59"/>
      <c r="Y241" s="59"/>
      <c r="Z241" s="59"/>
      <c r="AA241" s="59"/>
      <c r="AB241" s="59"/>
      <c r="AC241" s="59"/>
      <c r="AD241" s="59"/>
      <c r="AE241" s="59"/>
      <c r="AF241" s="59"/>
      <c r="AG241" s="128">
        <f t="shared" si="598"/>
        <v>-8</v>
      </c>
      <c r="AH241" s="128">
        <f t="shared" si="599"/>
        <v>-7.2090649143843564</v>
      </c>
      <c r="AI241" s="128">
        <f t="shared" si="599"/>
        <v>7.2090649143843564</v>
      </c>
      <c r="AJ241" s="128">
        <f t="shared" si="595"/>
        <v>0</v>
      </c>
      <c r="AK241" s="128">
        <f t="shared" si="600"/>
        <v>16.007907354870866</v>
      </c>
      <c r="AL241" s="59"/>
      <c r="AM241" s="59"/>
      <c r="AN241" s="59"/>
      <c r="AO241" s="59"/>
      <c r="AP241" s="59"/>
      <c r="AQ241" s="59"/>
    </row>
    <row r="242" spans="1:43">
      <c r="A242" s="59"/>
      <c r="B242" s="20">
        <f t="shared" si="614"/>
        <v>183</v>
      </c>
      <c r="C242" s="63">
        <f t="shared" si="606"/>
        <v>162.89629500000001</v>
      </c>
      <c r="D242" s="63">
        <f t="shared" si="607"/>
        <v>50.756340375743164</v>
      </c>
      <c r="E242" s="140">
        <f t="shared" ref="E242" si="616">E239-3*E232</f>
        <v>88</v>
      </c>
      <c r="F242" s="140">
        <f>F239-3*F232</f>
        <v>160</v>
      </c>
      <c r="G242" s="63">
        <f t="shared" si="609"/>
        <v>20</v>
      </c>
      <c r="H242" s="63">
        <f>H239-3*H232</f>
        <v>-12</v>
      </c>
      <c r="I242" s="9">
        <f t="shared" si="610"/>
        <v>52.633646578771774</v>
      </c>
      <c r="J242" s="9">
        <f t="shared" si="587"/>
        <v>111.11035954545257</v>
      </c>
      <c r="K242" s="9">
        <f t="shared" si="611"/>
        <v>58.476712966680793</v>
      </c>
      <c r="L242" s="59"/>
      <c r="M242" s="84">
        <f t="shared" si="589"/>
        <v>-11.224024469500918</v>
      </c>
      <c r="N242" s="84">
        <f t="shared" si="590"/>
        <v>11.224024469500918</v>
      </c>
      <c r="O242" s="84">
        <f t="shared" si="590"/>
        <v>0</v>
      </c>
      <c r="P242" s="62">
        <f t="shared" si="612"/>
        <v>71.529404498953284</v>
      </c>
      <c r="Q242" s="59"/>
      <c r="R242" s="49">
        <f t="shared" si="592"/>
        <v>76.718495881868989</v>
      </c>
      <c r="S242" s="49">
        <f t="shared" si="593"/>
        <v>32.94394417693244</v>
      </c>
      <c r="T242" s="61">
        <f t="shared" si="613"/>
        <v>25.756340375743164</v>
      </c>
      <c r="U242" s="59"/>
      <c r="V242" s="59"/>
      <c r="W242" s="59"/>
      <c r="X242" s="59"/>
      <c r="Y242" s="59"/>
      <c r="Z242" s="59"/>
      <c r="AA242" s="59"/>
      <c r="AB242" s="59"/>
      <c r="AC242" s="59"/>
      <c r="AD242" s="59"/>
      <c r="AE242" s="59"/>
      <c r="AF242" s="59"/>
      <c r="AG242" s="128">
        <f t="shared" si="598"/>
        <v>-12</v>
      </c>
      <c r="AH242" s="128">
        <f t="shared" si="599"/>
        <v>-11.224024469500918</v>
      </c>
      <c r="AI242" s="128">
        <f t="shared" si="599"/>
        <v>11.224024469500918</v>
      </c>
      <c r="AJ242" s="128">
        <f t="shared" si="595"/>
        <v>0</v>
      </c>
      <c r="AK242" s="128">
        <f t="shared" si="600"/>
        <v>25.756340375743164</v>
      </c>
      <c r="AL242" s="59"/>
      <c r="AM242" s="59"/>
      <c r="AN242" s="59"/>
      <c r="AO242" s="59"/>
      <c r="AP242" s="59"/>
      <c r="AQ242" s="59"/>
    </row>
    <row r="243" spans="1:43">
      <c r="A243" s="59"/>
      <c r="B243" s="20">
        <f t="shared" si="614"/>
        <v>183</v>
      </c>
      <c r="C243" s="63">
        <f t="shared" si="606"/>
        <v>162.89629500000001</v>
      </c>
      <c r="D243" s="63">
        <f t="shared" si="607"/>
        <v>62.116210616190472</v>
      </c>
      <c r="E243" s="140">
        <f t="shared" ref="E243" si="617">E239-4*E232</f>
        <v>88</v>
      </c>
      <c r="F243" s="140">
        <f>F239-4*F232</f>
        <v>160</v>
      </c>
      <c r="G243" s="63">
        <f t="shared" si="609"/>
        <v>20</v>
      </c>
      <c r="H243" s="63">
        <f>H239-4*H232</f>
        <v>-16</v>
      </c>
      <c r="I243" s="9">
        <f t="shared" si="610"/>
        <v>57.057381964494638</v>
      </c>
      <c r="J243" s="9">
        <f t="shared" si="587"/>
        <v>111.11035954545257</v>
      </c>
      <c r="K243" s="9">
        <f t="shared" si="611"/>
        <v>54.052977580957929</v>
      </c>
      <c r="L243" s="59"/>
      <c r="M243" s="84">
        <f t="shared" si="589"/>
        <v>-15.647759855223782</v>
      </c>
      <c r="N243" s="84">
        <f t="shared" si="590"/>
        <v>15.647759855223782</v>
      </c>
      <c r="O243" s="84">
        <f t="shared" si="590"/>
        <v>0</v>
      </c>
      <c r="P243" s="62">
        <f t="shared" si="612"/>
        <v>75.529404498953284</v>
      </c>
      <c r="Q243" s="59"/>
      <c r="R243" s="49">
        <f t="shared" si="592"/>
        <v>72.860412081003531</v>
      </c>
      <c r="S243" s="49">
        <f t="shared" si="593"/>
        <v>27.166673856491343</v>
      </c>
      <c r="T243" s="61">
        <f t="shared" si="613"/>
        <v>37.116210616190472</v>
      </c>
      <c r="U243" s="59"/>
      <c r="V243" s="59"/>
      <c r="W243" s="59"/>
      <c r="X243" s="59"/>
      <c r="Y243" s="59"/>
      <c r="Z243" s="59"/>
      <c r="AA243" s="59"/>
      <c r="AB243" s="59"/>
      <c r="AC243" s="59"/>
      <c r="AD243" s="59"/>
      <c r="AE243" s="59"/>
      <c r="AF243" s="59"/>
      <c r="AG243" s="128">
        <f t="shared" si="598"/>
        <v>-16</v>
      </c>
      <c r="AH243" s="128">
        <f t="shared" si="599"/>
        <v>-15.647759855223782</v>
      </c>
      <c r="AI243" s="128">
        <f t="shared" si="599"/>
        <v>15.647759855223782</v>
      </c>
      <c r="AJ243" s="128">
        <f t="shared" si="595"/>
        <v>0</v>
      </c>
      <c r="AK243" s="128">
        <f t="shared" si="600"/>
        <v>37.116210616190472</v>
      </c>
      <c r="AL243" s="59"/>
      <c r="AM243" s="59"/>
      <c r="AN243" s="59"/>
      <c r="AO243" s="59"/>
      <c r="AP243" s="59"/>
      <c r="AQ243" s="59"/>
    </row>
    <row r="244" spans="1:43">
      <c r="A244" s="59"/>
      <c r="B244" s="20">
        <f t="shared" si="614"/>
        <v>183</v>
      </c>
      <c r="C244" s="63">
        <f>C$177</f>
        <v>162.89629500000001</v>
      </c>
      <c r="D244" s="63">
        <f>2*(F244/2-(E244+2)*(COS(RADIANS(I244))))</f>
        <v>75.736750121019654</v>
      </c>
      <c r="E244" s="140">
        <f t="shared" ref="E244" si="618">E239-5*E232</f>
        <v>88</v>
      </c>
      <c r="F244" s="140">
        <f>F239-5*F232</f>
        <v>160</v>
      </c>
      <c r="G244" s="63">
        <f t="shared" si="609"/>
        <v>20</v>
      </c>
      <c r="H244" s="63">
        <f>H239-5*H232</f>
        <v>-20</v>
      </c>
      <c r="I244" s="9">
        <f>DEGREES(ASIN((P244)/(E244+2)))</f>
        <v>62.087074972301828</v>
      </c>
      <c r="J244" s="9">
        <f t="shared" si="587"/>
        <v>111.11035954545257</v>
      </c>
      <c r="K244" s="9">
        <f t="shared" si="611"/>
        <v>49.02328457315074</v>
      </c>
      <c r="L244" s="59"/>
      <c r="M244" s="84">
        <f t="shared" si="589"/>
        <v>-20.677452863030972</v>
      </c>
      <c r="N244" s="84">
        <f t="shared" si="590"/>
        <v>20.677452863030972</v>
      </c>
      <c r="O244" s="84">
        <f t="shared" si="590"/>
        <v>0</v>
      </c>
      <c r="P244" s="62">
        <f>P$239-H244</f>
        <v>79.529404498953284</v>
      </c>
      <c r="Q244" s="59"/>
      <c r="R244" s="49">
        <f t="shared" si="592"/>
        <v>67.947852180632566</v>
      </c>
      <c r="S244" s="49">
        <f t="shared" si="593"/>
        <v>20.982296011799093</v>
      </c>
      <c r="T244" s="61">
        <f t="shared" si="613"/>
        <v>50.736750121019654</v>
      </c>
      <c r="U244" s="59"/>
      <c r="V244" s="59"/>
      <c r="W244" s="59"/>
      <c r="X244" s="59"/>
      <c r="Y244" s="59"/>
      <c r="Z244" s="59"/>
      <c r="AA244" s="59"/>
      <c r="AB244" s="59"/>
      <c r="AC244" s="59"/>
      <c r="AD244" s="59"/>
      <c r="AE244" s="59"/>
      <c r="AF244" s="59"/>
      <c r="AG244" s="128">
        <f t="shared" si="598"/>
        <v>-20</v>
      </c>
      <c r="AH244" s="128">
        <f t="shared" si="599"/>
        <v>-20.677452863030972</v>
      </c>
      <c r="AI244" s="128">
        <f t="shared" si="599"/>
        <v>20.677452863030972</v>
      </c>
      <c r="AJ244" s="128">
        <f t="shared" si="595"/>
        <v>0</v>
      </c>
      <c r="AK244" s="128">
        <f t="shared" si="600"/>
        <v>50.736750121019654</v>
      </c>
      <c r="AL244" s="59"/>
      <c r="AM244" s="59"/>
      <c r="AN244" s="59"/>
      <c r="AO244" s="59"/>
      <c r="AP244" s="59"/>
      <c r="AQ244" s="59"/>
    </row>
    <row r="245" spans="1:43">
      <c r="A245" s="12"/>
      <c r="B245" s="5"/>
      <c r="C245" s="13"/>
      <c r="D245" s="13"/>
      <c r="E245" s="13"/>
      <c r="F245" s="13"/>
      <c r="G245" s="13"/>
      <c r="H245" s="13"/>
      <c r="I245" s="13"/>
      <c r="J245" s="13"/>
      <c r="K245" s="12"/>
      <c r="L245" s="12"/>
      <c r="M245" s="108"/>
      <c r="N245" s="108"/>
      <c r="O245" s="108"/>
      <c r="P245" s="13"/>
      <c r="Q245" s="45"/>
      <c r="R245" s="108"/>
      <c r="S245" s="108"/>
      <c r="T245" s="13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31"/>
      <c r="AH245" s="132"/>
      <c r="AI245" s="132"/>
      <c r="AJ245" s="132"/>
      <c r="AK245" s="131"/>
      <c r="AL245" s="59"/>
      <c r="AM245" s="59"/>
      <c r="AN245" s="59"/>
      <c r="AO245" s="59"/>
      <c r="AP245" s="59"/>
      <c r="AQ245" s="59"/>
    </row>
    <row r="246" spans="1:43" ht="18.75">
      <c r="A246" s="15" t="s">
        <v>117</v>
      </c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  <c r="AA246" s="59"/>
      <c r="AB246" s="59"/>
      <c r="AC246" s="59"/>
      <c r="AD246" s="59"/>
      <c r="AE246" s="59"/>
      <c r="AF246" s="59"/>
      <c r="AG246" s="59"/>
      <c r="AH246" s="59"/>
      <c r="AI246" s="59"/>
      <c r="AJ246" s="59"/>
      <c r="AK246" s="59"/>
      <c r="AL246" s="59"/>
      <c r="AM246" s="59"/>
      <c r="AN246" s="59"/>
      <c r="AO246" s="59"/>
      <c r="AP246" s="59"/>
      <c r="AQ246" s="59"/>
    </row>
    <row r="247" spans="1:43">
      <c r="A247" s="20"/>
      <c r="B247" s="20"/>
      <c r="C247" s="20"/>
      <c r="D247" s="20"/>
      <c r="E247" s="20"/>
      <c r="F247" s="20"/>
      <c r="G247" s="59"/>
      <c r="H247" s="59"/>
      <c r="I247" s="59"/>
      <c r="J247" s="59"/>
      <c r="K247" s="59"/>
      <c r="L247" s="59"/>
      <c r="M247" s="236" t="s">
        <v>14</v>
      </c>
      <c r="N247" s="237"/>
      <c r="O247" s="59"/>
      <c r="P247" s="59"/>
      <c r="Q247" s="59"/>
      <c r="R247" s="59"/>
      <c r="S247" s="59"/>
      <c r="T247" s="59"/>
      <c r="U247" s="59"/>
      <c r="V247" s="5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35"/>
      <c r="AH247" s="35"/>
      <c r="AI247" s="35"/>
      <c r="AJ247" s="35"/>
      <c r="AK247" s="35"/>
      <c r="AL247" s="59"/>
      <c r="AM247" s="59"/>
      <c r="AN247" s="59"/>
      <c r="AO247" s="59"/>
      <c r="AP247" s="59"/>
      <c r="AQ247" s="59"/>
    </row>
    <row r="248" spans="1:43" ht="136.5">
      <c r="A248" s="27"/>
      <c r="B248" s="28" t="s">
        <v>12</v>
      </c>
      <c r="C248" s="28" t="s">
        <v>8</v>
      </c>
      <c r="D248" s="65" t="s">
        <v>42</v>
      </c>
      <c r="E248" s="28" t="s">
        <v>3</v>
      </c>
      <c r="F248" s="28" t="s">
        <v>4</v>
      </c>
      <c r="G248" s="28" t="s">
        <v>41</v>
      </c>
      <c r="H248" s="65" t="s">
        <v>1</v>
      </c>
      <c r="I248" s="65" t="s">
        <v>6</v>
      </c>
      <c r="J248" s="65" t="s">
        <v>5</v>
      </c>
      <c r="K248" s="66" t="s">
        <v>20</v>
      </c>
      <c r="L248" s="31" t="s">
        <v>49</v>
      </c>
      <c r="M248" s="31" t="s">
        <v>112</v>
      </c>
      <c r="N248" s="28" t="s">
        <v>18</v>
      </c>
      <c r="O248" s="28" t="s">
        <v>19</v>
      </c>
      <c r="P248" s="32" t="s">
        <v>25</v>
      </c>
      <c r="Q248" s="28" t="s">
        <v>27</v>
      </c>
      <c r="R248" s="67" t="s">
        <v>26</v>
      </c>
      <c r="S248" s="28" t="s">
        <v>28</v>
      </c>
      <c r="T248" s="28" t="s">
        <v>33</v>
      </c>
      <c r="U248" s="28" t="s">
        <v>34</v>
      </c>
      <c r="V248" s="28" t="s">
        <v>30</v>
      </c>
      <c r="W248" s="28" t="s">
        <v>43</v>
      </c>
      <c r="X248" s="65" t="s">
        <v>29</v>
      </c>
      <c r="Y248" s="28" t="s">
        <v>32</v>
      </c>
      <c r="Z248" s="66" t="s">
        <v>31</v>
      </c>
      <c r="AA248" s="66" t="s">
        <v>35</v>
      </c>
      <c r="AB248" s="28" t="s">
        <v>36</v>
      </c>
      <c r="AC248" s="66" t="s">
        <v>37</v>
      </c>
      <c r="AD248" s="66" t="s">
        <v>48</v>
      </c>
      <c r="AE248" s="68" t="s">
        <v>38</v>
      </c>
      <c r="AF248" s="35"/>
      <c r="AG248" s="133" t="str">
        <f>H233</f>
        <v>Stretcher movement to stern (cm)</v>
      </c>
      <c r="AH248" s="28" t="s">
        <v>113</v>
      </c>
      <c r="AI248" s="28" t="s">
        <v>114</v>
      </c>
      <c r="AJ248" s="28" t="s">
        <v>115</v>
      </c>
      <c r="AK248" s="28" t="str">
        <f>T233</f>
        <v>change in distance between handles (cm / cm)</v>
      </c>
      <c r="AL248" s="59"/>
      <c r="AM248" s="59"/>
      <c r="AN248" s="59"/>
      <c r="AO248" s="59"/>
      <c r="AP248" s="59"/>
      <c r="AQ248" s="59"/>
    </row>
    <row r="249" spans="1:43">
      <c r="A249" s="5"/>
      <c r="B249" s="20">
        <f>B234</f>
        <v>183</v>
      </c>
      <c r="C249" s="18">
        <f t="shared" ref="C249:C253" si="619">100*(0.297865*B249/100+1.08387)</f>
        <v>162.89629500000001</v>
      </c>
      <c r="D249" s="63">
        <f>D234</f>
        <v>-1.7087032903069428</v>
      </c>
      <c r="E249" s="63">
        <f t="shared" ref="E249:G249" si="620">E234</f>
        <v>88</v>
      </c>
      <c r="F249" s="63">
        <f t="shared" si="620"/>
        <v>160</v>
      </c>
      <c r="G249" s="63">
        <f t="shared" si="620"/>
        <v>20</v>
      </c>
      <c r="H249" s="146">
        <f t="shared" ref="H249:H253" si="621">DEGREES(ACOS((F249-D249)/2/(E249+2)))</f>
        <v>26.053844393982857</v>
      </c>
      <c r="I249" s="20"/>
      <c r="J249" s="63"/>
      <c r="K249" s="69">
        <f t="shared" ref="K249:K253" si="622">H249-H$192</f>
        <v>-15.355777715287999</v>
      </c>
      <c r="L249" s="63">
        <f>P234</f>
        <v>39.529404498953284</v>
      </c>
      <c r="M249" s="41">
        <f t="shared" ref="M249:M253" si="623">L249-L$192</f>
        <v>-20</v>
      </c>
      <c r="N249" s="61"/>
      <c r="O249" s="61"/>
      <c r="P249" s="23">
        <f t="shared" ref="P249:P252" si="624">P$254</f>
        <v>1</v>
      </c>
      <c r="Q249" s="20">
        <f t="shared" ref="Q249:Q259" si="625">B249 *P249</f>
        <v>183</v>
      </c>
      <c r="R249" s="23">
        <f t="shared" ref="R249:R252" si="626">R$254</f>
        <v>0.25</v>
      </c>
      <c r="S249" s="61">
        <f>Q249*R249</f>
        <v>45.75</v>
      </c>
      <c r="T249" s="61">
        <f>S249/2</f>
        <v>22.875</v>
      </c>
      <c r="U249" s="61">
        <f t="shared" ref="U249:U259" si="627">F249/2 -S249/2</f>
        <v>57.125</v>
      </c>
      <c r="V249" s="61"/>
      <c r="W249" s="61">
        <f t="shared" ref="W249:W253" si="628">COS(RADIANS(17))*((Q249-S249)/2 -8)</f>
        <v>57.975975830259024</v>
      </c>
      <c r="X249" s="61">
        <f t="shared" ref="X249:X252" si="629">X$254-M249</f>
        <v>52.542241364170351</v>
      </c>
      <c r="Y249" s="61">
        <f>SQRT(X249*X249+U249*U249)</f>
        <v>77.614127274425584</v>
      </c>
      <c r="Z249" s="69">
        <f>DEGREES(ASIN(X249/Y249))</f>
        <v>42.607124533879812</v>
      </c>
      <c r="AA249" s="69">
        <f t="shared" ref="AA249:AA259" si="630">DEGREES(ACOS(((E249+2)*(E249+2)+(Y249*Y249)-(W249*W249))/(2*(E249+2)*(Y249))))</f>
        <v>39.611253923461412</v>
      </c>
      <c r="AB249" s="4">
        <f t="shared" ref="AB249:AB259" si="631">Z249+AA249</f>
        <v>82.218378457341231</v>
      </c>
      <c r="AC249" s="70">
        <f t="shared" ref="AC249:AC252" si="632">AB249-AB$254</f>
        <v>12.517641021159505</v>
      </c>
      <c r="AD249" s="69">
        <f>AB249+H249</f>
        <v>108.27222285132409</v>
      </c>
      <c r="AE249" s="71">
        <f t="shared" ref="AE249:AE252" si="633">H249+AB249-I$254</f>
        <v>-2.8381366941284796</v>
      </c>
      <c r="AF249" s="59"/>
      <c r="AG249" s="128">
        <f>H234</f>
        <v>20</v>
      </c>
      <c r="AH249" s="128">
        <f t="shared" ref="AH249:AH259" si="634">AC249</f>
        <v>12.517641021159505</v>
      </c>
      <c r="AI249" s="128">
        <f>K249</f>
        <v>-15.355777715287999</v>
      </c>
      <c r="AJ249" s="128">
        <f t="shared" ref="AJ249:AJ259" si="635">AE249</f>
        <v>-2.8381366941284796</v>
      </c>
      <c r="AK249" s="128">
        <f>T234</f>
        <v>-26.708703290306943</v>
      </c>
      <c r="AL249" s="59"/>
      <c r="AM249" s="59"/>
      <c r="AN249" s="59"/>
      <c r="AO249" s="59"/>
      <c r="AP249" s="59"/>
      <c r="AQ249" s="59"/>
    </row>
    <row r="250" spans="1:43">
      <c r="A250" s="59"/>
      <c r="B250" s="20">
        <f t="shared" ref="B250:B259" si="636">B235</f>
        <v>183</v>
      </c>
      <c r="C250" s="18">
        <f t="shared" si="619"/>
        <v>162.89629500000001</v>
      </c>
      <c r="D250" s="63">
        <f t="shared" ref="D250:G259" si="637">D235</f>
        <v>2.453931258612414</v>
      </c>
      <c r="E250" s="63">
        <f t="shared" si="637"/>
        <v>88</v>
      </c>
      <c r="F250" s="63">
        <f t="shared" si="637"/>
        <v>160</v>
      </c>
      <c r="G250" s="63">
        <f t="shared" si="637"/>
        <v>20</v>
      </c>
      <c r="H250" s="146">
        <f t="shared" si="621"/>
        <v>28.924719776786937</v>
      </c>
      <c r="I250" s="20"/>
      <c r="J250" s="63"/>
      <c r="K250" s="69">
        <f t="shared" si="622"/>
        <v>-12.484902332483919</v>
      </c>
      <c r="L250" s="63">
        <f t="shared" ref="L250:L259" si="638">P235</f>
        <v>43.529404498953284</v>
      </c>
      <c r="M250" s="41">
        <f t="shared" si="623"/>
        <v>-16</v>
      </c>
      <c r="N250" s="61"/>
      <c r="O250" s="61"/>
      <c r="P250" s="23">
        <f t="shared" si="624"/>
        <v>1</v>
      </c>
      <c r="Q250" s="20">
        <f t="shared" si="625"/>
        <v>183</v>
      </c>
      <c r="R250" s="23">
        <f t="shared" si="626"/>
        <v>0.25</v>
      </c>
      <c r="S250" s="61">
        <f>Q250*R250</f>
        <v>45.75</v>
      </c>
      <c r="T250" s="61">
        <f>S250/2</f>
        <v>22.875</v>
      </c>
      <c r="U250" s="61">
        <f t="shared" si="627"/>
        <v>57.125</v>
      </c>
      <c r="V250" s="61"/>
      <c r="W250" s="61">
        <f t="shared" si="628"/>
        <v>57.975975830259024</v>
      </c>
      <c r="X250" s="61">
        <f t="shared" si="629"/>
        <v>48.542241364170351</v>
      </c>
      <c r="Y250" s="61">
        <f>SQRT(X250*X250+U250*U250)</f>
        <v>74.964090214297741</v>
      </c>
      <c r="Z250" s="69">
        <f>DEGREES(ASIN(X250/Y250))</f>
        <v>40.356378537624209</v>
      </c>
      <c r="AA250" s="69">
        <f t="shared" si="630"/>
        <v>39.856089871779325</v>
      </c>
      <c r="AB250" s="4">
        <f t="shared" si="631"/>
        <v>80.212468409403527</v>
      </c>
      <c r="AC250" s="70">
        <f t="shared" si="632"/>
        <v>10.511730973221802</v>
      </c>
      <c r="AD250" s="69">
        <f t="shared" ref="AD250:AD259" si="639">AB250+H250</f>
        <v>109.13718818619046</v>
      </c>
      <c r="AE250" s="71">
        <f t="shared" si="633"/>
        <v>-1.9731713592621105</v>
      </c>
      <c r="AF250" s="59"/>
      <c r="AG250" s="128">
        <f t="shared" ref="AG250:AG259" si="640">H235</f>
        <v>16</v>
      </c>
      <c r="AH250" s="128">
        <f t="shared" si="634"/>
        <v>10.511730973221802</v>
      </c>
      <c r="AI250" s="128">
        <f t="shared" ref="AI250:AI259" si="641">K250</f>
        <v>-12.484902332483919</v>
      </c>
      <c r="AJ250" s="128">
        <f t="shared" si="635"/>
        <v>-1.9731713592621105</v>
      </c>
      <c r="AK250" s="128">
        <f t="shared" ref="AK250:AK259" si="642">T235</f>
        <v>-22.546068741387586</v>
      </c>
      <c r="AL250" s="59"/>
      <c r="AM250" s="59"/>
      <c r="AN250" s="59"/>
      <c r="AO250" s="59"/>
      <c r="AP250" s="59"/>
      <c r="AQ250" s="59"/>
    </row>
    <row r="251" spans="1:43">
      <c r="A251" s="59"/>
      <c r="B251" s="20">
        <f t="shared" si="636"/>
        <v>183</v>
      </c>
      <c r="C251" s="18">
        <f t="shared" si="619"/>
        <v>162.89629500000001</v>
      </c>
      <c r="D251" s="63">
        <f t="shared" si="637"/>
        <v>7.1477091048370482</v>
      </c>
      <c r="E251" s="63">
        <f t="shared" si="637"/>
        <v>88</v>
      </c>
      <c r="F251" s="63">
        <f t="shared" si="637"/>
        <v>160</v>
      </c>
      <c r="G251" s="63">
        <f t="shared" si="637"/>
        <v>20</v>
      </c>
      <c r="H251" s="146">
        <f t="shared" si="621"/>
        <v>31.877472393847963</v>
      </c>
      <c r="I251" s="20"/>
      <c r="J251" s="63"/>
      <c r="K251" s="69">
        <f t="shared" si="622"/>
        <v>-9.5321497154228929</v>
      </c>
      <c r="L251" s="63">
        <f t="shared" si="638"/>
        <v>47.529404498953284</v>
      </c>
      <c r="M251" s="41">
        <f t="shared" si="623"/>
        <v>-12</v>
      </c>
      <c r="N251" s="61"/>
      <c r="O251" s="61"/>
      <c r="P251" s="23">
        <f t="shared" si="624"/>
        <v>1</v>
      </c>
      <c r="Q251" s="20">
        <f t="shared" si="625"/>
        <v>183</v>
      </c>
      <c r="R251" s="23">
        <f t="shared" si="626"/>
        <v>0.25</v>
      </c>
      <c r="S251" s="61">
        <f t="shared" ref="S251:S253" si="643">Q251*R251</f>
        <v>45.75</v>
      </c>
      <c r="T251" s="61">
        <f t="shared" ref="T251:T253" si="644">S251/2</f>
        <v>22.875</v>
      </c>
      <c r="U251" s="61">
        <f t="shared" si="627"/>
        <v>57.125</v>
      </c>
      <c r="V251" s="61"/>
      <c r="W251" s="61">
        <f t="shared" si="628"/>
        <v>57.975975830259024</v>
      </c>
      <c r="X251" s="61">
        <f t="shared" si="629"/>
        <v>44.542241364170351</v>
      </c>
      <c r="Y251" s="61">
        <f>SQRT(X251*X251+U251*U251)</f>
        <v>72.438090054501075</v>
      </c>
      <c r="Z251" s="69">
        <f>DEGREES(ASIN(X251/Y251))</f>
        <v>37.944714439393543</v>
      </c>
      <c r="AA251" s="69">
        <f t="shared" si="630"/>
        <v>40.015585592483717</v>
      </c>
      <c r="AB251" s="4">
        <f t="shared" si="631"/>
        <v>77.960300031877267</v>
      </c>
      <c r="AC251" s="70">
        <f t="shared" si="632"/>
        <v>8.2595625956955416</v>
      </c>
      <c r="AD251" s="69">
        <f t="shared" si="639"/>
        <v>109.83777242572523</v>
      </c>
      <c r="AE251" s="71">
        <f t="shared" si="633"/>
        <v>-1.2725871197273335</v>
      </c>
      <c r="AF251" s="59"/>
      <c r="AG251" s="128">
        <f t="shared" si="640"/>
        <v>12</v>
      </c>
      <c r="AH251" s="128">
        <f t="shared" si="634"/>
        <v>8.2595625956955416</v>
      </c>
      <c r="AI251" s="128">
        <f t="shared" si="641"/>
        <v>-9.5321497154228929</v>
      </c>
      <c r="AJ251" s="128">
        <f t="shared" si="635"/>
        <v>-1.2725871197273335</v>
      </c>
      <c r="AK251" s="128">
        <f t="shared" si="642"/>
        <v>-17.852290895162952</v>
      </c>
      <c r="AL251" s="59"/>
      <c r="AM251" s="59"/>
      <c r="AN251" s="59"/>
      <c r="AO251" s="59"/>
      <c r="AP251" s="59"/>
      <c r="AQ251" s="59"/>
    </row>
    <row r="252" spans="1:43">
      <c r="A252" s="59"/>
      <c r="B252" s="20">
        <f t="shared" si="636"/>
        <v>183</v>
      </c>
      <c r="C252" s="18">
        <f t="shared" si="619"/>
        <v>162.89629500000001</v>
      </c>
      <c r="D252" s="63">
        <f t="shared" si="637"/>
        <v>12.423301676948284</v>
      </c>
      <c r="E252" s="63">
        <f t="shared" si="637"/>
        <v>88</v>
      </c>
      <c r="F252" s="63">
        <f t="shared" si="637"/>
        <v>160</v>
      </c>
      <c r="G252" s="63">
        <f t="shared" si="637"/>
        <v>20</v>
      </c>
      <c r="H252" s="146">
        <f t="shared" si="621"/>
        <v>34.928162965737663</v>
      </c>
      <c r="I252" s="20"/>
      <c r="J252" s="63"/>
      <c r="K252" s="69">
        <f t="shared" si="622"/>
        <v>-6.4814591435331934</v>
      </c>
      <c r="L252" s="63">
        <f t="shared" si="638"/>
        <v>51.529404498953284</v>
      </c>
      <c r="M252" s="41">
        <f t="shared" si="623"/>
        <v>-8</v>
      </c>
      <c r="N252" s="61"/>
      <c r="O252" s="61"/>
      <c r="P252" s="23">
        <f t="shared" si="624"/>
        <v>1</v>
      </c>
      <c r="Q252" s="20">
        <f t="shared" si="625"/>
        <v>183</v>
      </c>
      <c r="R252" s="23">
        <f t="shared" si="626"/>
        <v>0.25</v>
      </c>
      <c r="S252" s="61">
        <f t="shared" si="643"/>
        <v>45.75</v>
      </c>
      <c r="T252" s="61">
        <f t="shared" si="644"/>
        <v>22.875</v>
      </c>
      <c r="U252" s="61">
        <f t="shared" si="627"/>
        <v>57.125</v>
      </c>
      <c r="V252" s="61"/>
      <c r="W252" s="61">
        <f t="shared" si="628"/>
        <v>57.975975830259024</v>
      </c>
      <c r="X252" s="61">
        <f t="shared" si="629"/>
        <v>40.542241364170351</v>
      </c>
      <c r="Y252" s="61">
        <f t="shared" ref="Y252:Y253" si="645">SQRT(X252*X252+U252*U252)</f>
        <v>70.049546464132405</v>
      </c>
      <c r="Z252" s="69">
        <f t="shared" ref="Z252:Z253" si="646">DEGREES(ASIN(X252/Y252))</f>
        <v>35.363741772383278</v>
      </c>
      <c r="AA252" s="69">
        <f t="shared" si="630"/>
        <v>40.093694933025652</v>
      </c>
      <c r="AB252" s="4">
        <f t="shared" si="631"/>
        <v>75.457436705408924</v>
      </c>
      <c r="AC252" s="70">
        <f t="shared" si="632"/>
        <v>5.7566992692271981</v>
      </c>
      <c r="AD252" s="69">
        <f t="shared" si="639"/>
        <v>110.38559967114659</v>
      </c>
      <c r="AE252" s="71">
        <f t="shared" si="633"/>
        <v>-0.72475987430597399</v>
      </c>
      <c r="AF252" s="59"/>
      <c r="AG252" s="128">
        <f t="shared" si="640"/>
        <v>8</v>
      </c>
      <c r="AH252" s="128">
        <f t="shared" si="634"/>
        <v>5.7566992692271981</v>
      </c>
      <c r="AI252" s="128">
        <f t="shared" si="641"/>
        <v>-6.4814591435331934</v>
      </c>
      <c r="AJ252" s="128">
        <f t="shared" si="635"/>
        <v>-0.72475987430597399</v>
      </c>
      <c r="AK252" s="128">
        <f t="shared" si="642"/>
        <v>-12.576698323051716</v>
      </c>
      <c r="AL252" s="59"/>
      <c r="AM252" s="59"/>
      <c r="AN252" s="59"/>
      <c r="AO252" s="59"/>
      <c r="AP252" s="59"/>
      <c r="AQ252" s="59"/>
    </row>
    <row r="253" spans="1:43">
      <c r="A253" s="59"/>
      <c r="B253" s="20">
        <f t="shared" si="636"/>
        <v>183</v>
      </c>
      <c r="C253" s="18">
        <f t="shared" si="619"/>
        <v>162.89629500000001</v>
      </c>
      <c r="D253" s="63">
        <f t="shared" si="637"/>
        <v>18.345699168833903</v>
      </c>
      <c r="E253" s="63">
        <f t="shared" si="637"/>
        <v>88</v>
      </c>
      <c r="F253" s="63">
        <f t="shared" si="637"/>
        <v>160</v>
      </c>
      <c r="G253" s="63">
        <f t="shared" si="637"/>
        <v>20</v>
      </c>
      <c r="H253" s="146">
        <f t="shared" si="621"/>
        <v>38.096906287950638</v>
      </c>
      <c r="I253" s="20"/>
      <c r="J253" s="63"/>
      <c r="K253" s="69">
        <f t="shared" si="622"/>
        <v>-3.3127158213202179</v>
      </c>
      <c r="L253" s="63">
        <f t="shared" si="638"/>
        <v>55.529404498953284</v>
      </c>
      <c r="M253" s="41">
        <f t="shared" si="623"/>
        <v>-4</v>
      </c>
      <c r="N253" s="61"/>
      <c r="O253" s="61"/>
      <c r="P253" s="23">
        <f>P$254</f>
        <v>1</v>
      </c>
      <c r="Q253" s="20">
        <f t="shared" si="625"/>
        <v>183</v>
      </c>
      <c r="R253" s="23">
        <f>R$254</f>
        <v>0.25</v>
      </c>
      <c r="S253" s="61">
        <f t="shared" si="643"/>
        <v>45.75</v>
      </c>
      <c r="T253" s="61">
        <f t="shared" si="644"/>
        <v>22.875</v>
      </c>
      <c r="U253" s="61">
        <f t="shared" si="627"/>
        <v>57.125</v>
      </c>
      <c r="V253" s="61"/>
      <c r="W253" s="61">
        <f t="shared" si="628"/>
        <v>57.975975830259024</v>
      </c>
      <c r="X253" s="61">
        <f>X$254-M253</f>
        <v>36.542241364170351</v>
      </c>
      <c r="Y253" s="61">
        <f t="shared" si="645"/>
        <v>67.812985695346597</v>
      </c>
      <c r="Z253" s="69">
        <f t="shared" si="646"/>
        <v>32.606605272718262</v>
      </c>
      <c r="AA253" s="69">
        <f t="shared" si="630"/>
        <v>40.096366898625206</v>
      </c>
      <c r="AB253" s="4">
        <f t="shared" si="631"/>
        <v>72.702972171343475</v>
      </c>
      <c r="AC253" s="70">
        <f>AB253-AB$254</f>
        <v>3.0022347351617498</v>
      </c>
      <c r="AD253" s="69">
        <f t="shared" si="639"/>
        <v>110.79987845929412</v>
      </c>
      <c r="AE253" s="71">
        <f>H253+AB253-I$254</f>
        <v>-0.31048108615844683</v>
      </c>
      <c r="AF253" s="59"/>
      <c r="AG253" s="128">
        <f t="shared" si="640"/>
        <v>4</v>
      </c>
      <c r="AH253" s="128">
        <f t="shared" si="634"/>
        <v>3.0022347351617498</v>
      </c>
      <c r="AI253" s="128">
        <f t="shared" si="641"/>
        <v>-3.3127158213202179</v>
      </c>
      <c r="AJ253" s="128">
        <f t="shared" si="635"/>
        <v>-0.31048108615844683</v>
      </c>
      <c r="AK253" s="128">
        <f t="shared" si="642"/>
        <v>-6.6543008311660969</v>
      </c>
      <c r="AL253" s="59"/>
      <c r="AM253" s="59"/>
      <c r="AN253" s="59"/>
      <c r="AO253" s="59"/>
      <c r="AP253" s="59"/>
      <c r="AQ253" s="59"/>
    </row>
    <row r="254" spans="1:43">
      <c r="A254" s="15"/>
      <c r="B254" s="20">
        <f t="shared" si="636"/>
        <v>183</v>
      </c>
      <c r="C254" s="37">
        <f>100*(0.297865*B254/100+1.08387)</f>
        <v>162.89629500000001</v>
      </c>
      <c r="D254" s="63">
        <f t="shared" si="637"/>
        <v>25</v>
      </c>
      <c r="E254" s="63">
        <f t="shared" si="637"/>
        <v>88</v>
      </c>
      <c r="F254" s="63">
        <f t="shared" si="637"/>
        <v>160</v>
      </c>
      <c r="G254" s="63">
        <f t="shared" si="637"/>
        <v>20</v>
      </c>
      <c r="H254" s="146">
        <f>DEGREES(ACOS((F254-D254)/2/(E254+2)))</f>
        <v>41.409622109270856</v>
      </c>
      <c r="I254" s="120">
        <f>DEGREES(C254/(E254-6+2))</f>
        <v>111.11035954545257</v>
      </c>
      <c r="J254" s="40">
        <f>I254-H254</f>
        <v>69.700737436181711</v>
      </c>
      <c r="K254" s="69">
        <f>H254-H$192</f>
        <v>0</v>
      </c>
      <c r="L254" s="63">
        <f t="shared" si="638"/>
        <v>59.529404498953284</v>
      </c>
      <c r="M254" s="41">
        <f>L254-L$192</f>
        <v>0</v>
      </c>
      <c r="N254" s="39">
        <f>(E254+2)*SIN(RADIANS(J254))</f>
        <v>84.410405985170328</v>
      </c>
      <c r="O254" s="39">
        <f>(F254/2)- (E254+2)*COS(RADIANS(J254))</f>
        <v>48.776877775937891</v>
      </c>
      <c r="P254" s="42">
        <v>1</v>
      </c>
      <c r="Q254" s="43">
        <f t="shared" si="625"/>
        <v>183</v>
      </c>
      <c r="R254" s="42">
        <v>0.25</v>
      </c>
      <c r="S254" s="39">
        <f>Q254*R254</f>
        <v>45.75</v>
      </c>
      <c r="T254" s="39">
        <f>S254/2</f>
        <v>22.875</v>
      </c>
      <c r="U254" s="39">
        <f t="shared" si="627"/>
        <v>57.125</v>
      </c>
      <c r="V254" s="39">
        <f>O254-T254</f>
        <v>25.901877775937891</v>
      </c>
      <c r="W254" s="39">
        <f>COS(RADIANS(17))*((Q254-S254)/2-8)</f>
        <v>57.975975830259024</v>
      </c>
      <c r="X254" s="40">
        <f xml:space="preserve"> N254- SQRT(W254*W254-V254*V254)</f>
        <v>32.542241364170351</v>
      </c>
      <c r="Y254" s="39">
        <f>SQRT(X254*X254+U254*U254)</f>
        <v>65.743920616311883</v>
      </c>
      <c r="Z254" s="70">
        <f>DEGREES(ASIN(X254/Y254))</f>
        <v>29.668748003899008</v>
      </c>
      <c r="AA254" s="70">
        <f t="shared" si="630"/>
        <v>40.031989432282721</v>
      </c>
      <c r="AB254" s="52">
        <f t="shared" si="631"/>
        <v>69.700737436181726</v>
      </c>
      <c r="AC254" s="70">
        <f>AB254-AB$192</f>
        <v>0</v>
      </c>
      <c r="AD254" s="70">
        <f t="shared" si="639"/>
        <v>111.11035954545258</v>
      </c>
      <c r="AE254" s="71">
        <f t="shared" ref="AE254" si="647">H254+AB254-I$192</f>
        <v>0</v>
      </c>
      <c r="AF254" s="15"/>
      <c r="AG254" s="128">
        <f t="shared" si="640"/>
        <v>0</v>
      </c>
      <c r="AH254" s="128">
        <f t="shared" si="634"/>
        <v>0</v>
      </c>
      <c r="AI254" s="128">
        <f t="shared" si="641"/>
        <v>0</v>
      </c>
      <c r="AJ254" s="128">
        <f t="shared" si="635"/>
        <v>0</v>
      </c>
      <c r="AK254" s="128">
        <f t="shared" si="642"/>
        <v>0</v>
      </c>
      <c r="AL254" s="59"/>
      <c r="AM254" s="59"/>
      <c r="AN254" s="59"/>
      <c r="AO254" s="59"/>
      <c r="AP254" s="59"/>
      <c r="AQ254" s="59"/>
    </row>
    <row r="255" spans="1:43">
      <c r="A255" s="5"/>
      <c r="B255" s="20">
        <f t="shared" si="636"/>
        <v>183</v>
      </c>
      <c r="C255" s="18">
        <f t="shared" ref="C255:C259" si="648">100*(0.297865*B255/100+1.08387)</f>
        <v>162.89629500000001</v>
      </c>
      <c r="D255" s="63">
        <f t="shared" si="637"/>
        <v>32.500748802067491</v>
      </c>
      <c r="E255" s="63">
        <f t="shared" si="637"/>
        <v>88</v>
      </c>
      <c r="F255" s="63">
        <f t="shared" si="637"/>
        <v>160</v>
      </c>
      <c r="G255" s="63">
        <f t="shared" si="637"/>
        <v>20</v>
      </c>
      <c r="H255" s="146">
        <f t="shared" ref="H255:H259" si="649">DEGREES(ACOS((F255-D255)/2/(E255+2)))</f>
        <v>44.900865625785606</v>
      </c>
      <c r="I255" s="20"/>
      <c r="J255" s="63"/>
      <c r="K255" s="69">
        <f t="shared" ref="K255:K259" si="650">H255-H$192</f>
        <v>3.49124351651475</v>
      </c>
      <c r="L255" s="63">
        <f t="shared" si="638"/>
        <v>63.529404498953284</v>
      </c>
      <c r="M255" s="41">
        <f t="shared" ref="M255:M259" si="651">L255-L$192</f>
        <v>4</v>
      </c>
      <c r="N255" s="61"/>
      <c r="O255" s="61"/>
      <c r="P255" s="23">
        <f t="shared" ref="P255:P258" si="652">P$254</f>
        <v>1</v>
      </c>
      <c r="Q255" s="20">
        <f t="shared" si="625"/>
        <v>183</v>
      </c>
      <c r="R255" s="23">
        <f t="shared" ref="R255:R258" si="653">R$254</f>
        <v>0.25</v>
      </c>
      <c r="S255" s="61">
        <f>Q255*R255</f>
        <v>45.75</v>
      </c>
      <c r="T255" s="61">
        <f>S255/2</f>
        <v>22.875</v>
      </c>
      <c r="U255" s="61">
        <f t="shared" si="627"/>
        <v>57.125</v>
      </c>
      <c r="V255" s="61"/>
      <c r="W255" s="61">
        <f t="shared" ref="W255:W259" si="654">COS(RADIANS(17))*((Q255-S255)/2 -8)</f>
        <v>57.975975830259024</v>
      </c>
      <c r="X255" s="61">
        <f t="shared" ref="X255:X258" si="655">X$254-M255</f>
        <v>28.542241364170351</v>
      </c>
      <c r="Y255" s="61">
        <f>SQRT(X255*X255+U255*U255)</f>
        <v>63.858634240723916</v>
      </c>
      <c r="Z255" s="69">
        <f>DEGREES(ASIN(X255/Y255))</f>
        <v>26.548793510842195</v>
      </c>
      <c r="AA255" s="69">
        <f t="shared" si="630"/>
        <v>39.91173250113512</v>
      </c>
      <c r="AB255" s="4">
        <f t="shared" si="631"/>
        <v>66.460526011977322</v>
      </c>
      <c r="AC255" s="70">
        <f t="shared" ref="AC255:AC258" si="656">AB255-AB$254</f>
        <v>-3.2402114242044036</v>
      </c>
      <c r="AD255" s="69">
        <f t="shared" si="639"/>
        <v>111.36139163776292</v>
      </c>
      <c r="AE255" s="71">
        <f t="shared" ref="AE255:AE258" si="657">H255+AB255-I$254</f>
        <v>0.25103209231035351</v>
      </c>
      <c r="AF255" s="59"/>
      <c r="AG255" s="128">
        <f t="shared" si="640"/>
        <v>-4</v>
      </c>
      <c r="AH255" s="128">
        <f t="shared" si="634"/>
        <v>-3.2402114242044036</v>
      </c>
      <c r="AI255" s="128">
        <f t="shared" si="641"/>
        <v>3.49124351651475</v>
      </c>
      <c r="AJ255" s="128">
        <f t="shared" si="635"/>
        <v>0.25103209231035351</v>
      </c>
      <c r="AK255" s="128">
        <f t="shared" si="642"/>
        <v>7.5007488020674913</v>
      </c>
      <c r="AL255" s="59"/>
      <c r="AM255" s="59"/>
      <c r="AN255" s="59"/>
      <c r="AO255" s="59"/>
      <c r="AP255" s="59"/>
      <c r="AQ255" s="59"/>
    </row>
    <row r="256" spans="1:43">
      <c r="A256" s="59"/>
      <c r="B256" s="20">
        <f t="shared" si="636"/>
        <v>183</v>
      </c>
      <c r="C256" s="18">
        <f t="shared" si="648"/>
        <v>162.89629500000001</v>
      </c>
      <c r="D256" s="63">
        <f t="shared" si="637"/>
        <v>41.007907354870866</v>
      </c>
      <c r="E256" s="63">
        <f t="shared" si="637"/>
        <v>88</v>
      </c>
      <c r="F256" s="63">
        <f t="shared" si="637"/>
        <v>160</v>
      </c>
      <c r="G256" s="63">
        <f t="shared" si="637"/>
        <v>20</v>
      </c>
      <c r="H256" s="146">
        <f t="shared" si="649"/>
        <v>48.618687023655205</v>
      </c>
      <c r="I256" s="20"/>
      <c r="J256" s="63"/>
      <c r="K256" s="69">
        <f t="shared" si="650"/>
        <v>7.2090649143843493</v>
      </c>
      <c r="L256" s="63">
        <f t="shared" si="638"/>
        <v>67.529404498953284</v>
      </c>
      <c r="M256" s="41">
        <f t="shared" si="651"/>
        <v>8</v>
      </c>
      <c r="N256" s="61"/>
      <c r="O256" s="61"/>
      <c r="P256" s="23">
        <f t="shared" si="652"/>
        <v>1</v>
      </c>
      <c r="Q256" s="20">
        <f t="shared" si="625"/>
        <v>183</v>
      </c>
      <c r="R256" s="23">
        <f t="shared" si="653"/>
        <v>0.25</v>
      </c>
      <c r="S256" s="61">
        <f>Q256*R256</f>
        <v>45.75</v>
      </c>
      <c r="T256" s="61">
        <f>S256/2</f>
        <v>22.875</v>
      </c>
      <c r="U256" s="61">
        <f t="shared" si="627"/>
        <v>57.125</v>
      </c>
      <c r="V256" s="61"/>
      <c r="W256" s="61">
        <f t="shared" si="654"/>
        <v>57.975975830259024</v>
      </c>
      <c r="X256" s="61">
        <f t="shared" si="655"/>
        <v>24.542241364170351</v>
      </c>
      <c r="Y256" s="61">
        <f>SQRT(X256*X256+U256*U256)</f>
        <v>62.173846882569478</v>
      </c>
      <c r="Z256" s="69">
        <f>DEGREES(ASIN(X256/Y256))</f>
        <v>23.249495775625721</v>
      </c>
      <c r="AA256" s="69">
        <f t="shared" si="630"/>
        <v>39.749682294675893</v>
      </c>
      <c r="AB256" s="4">
        <f t="shared" si="631"/>
        <v>62.99917807030161</v>
      </c>
      <c r="AC256" s="70">
        <f t="shared" si="656"/>
        <v>-6.7015593658801151</v>
      </c>
      <c r="AD256" s="69">
        <f t="shared" si="639"/>
        <v>111.61786509395682</v>
      </c>
      <c r="AE256" s="71">
        <f t="shared" si="657"/>
        <v>0.50750554850425544</v>
      </c>
      <c r="AF256" s="59"/>
      <c r="AG256" s="128">
        <f t="shared" si="640"/>
        <v>-8</v>
      </c>
      <c r="AH256" s="128">
        <f t="shared" si="634"/>
        <v>-6.7015593658801151</v>
      </c>
      <c r="AI256" s="128">
        <f t="shared" si="641"/>
        <v>7.2090649143843493</v>
      </c>
      <c r="AJ256" s="128">
        <f t="shared" si="635"/>
        <v>0.50750554850425544</v>
      </c>
      <c r="AK256" s="128">
        <f t="shared" si="642"/>
        <v>16.007907354870866</v>
      </c>
      <c r="AL256" s="59"/>
      <c r="AM256" s="59"/>
      <c r="AN256" s="59"/>
      <c r="AO256" s="59"/>
      <c r="AP256" s="59"/>
      <c r="AQ256" s="59"/>
    </row>
    <row r="257" spans="1:43">
      <c r="A257" s="59"/>
      <c r="B257" s="20">
        <f t="shared" si="636"/>
        <v>183</v>
      </c>
      <c r="C257" s="18">
        <f t="shared" si="648"/>
        <v>162.89629500000001</v>
      </c>
      <c r="D257" s="63">
        <f t="shared" si="637"/>
        <v>50.756340375743164</v>
      </c>
      <c r="E257" s="63">
        <f t="shared" si="637"/>
        <v>88</v>
      </c>
      <c r="F257" s="63">
        <f t="shared" si="637"/>
        <v>160</v>
      </c>
      <c r="G257" s="63">
        <f t="shared" si="637"/>
        <v>20</v>
      </c>
      <c r="H257" s="146">
        <f t="shared" si="649"/>
        <v>52.633646578771767</v>
      </c>
      <c r="I257" s="20"/>
      <c r="J257" s="63"/>
      <c r="K257" s="69">
        <f t="shared" si="650"/>
        <v>11.224024469500911</v>
      </c>
      <c r="L257" s="63">
        <f t="shared" si="638"/>
        <v>71.529404498953284</v>
      </c>
      <c r="M257" s="41">
        <f t="shared" si="651"/>
        <v>12</v>
      </c>
      <c r="N257" s="61"/>
      <c r="O257" s="61"/>
      <c r="P257" s="23">
        <f t="shared" si="652"/>
        <v>1</v>
      </c>
      <c r="Q257" s="20">
        <f t="shared" si="625"/>
        <v>183</v>
      </c>
      <c r="R257" s="23">
        <f t="shared" si="653"/>
        <v>0.25</v>
      </c>
      <c r="S257" s="61">
        <f t="shared" ref="S257:S259" si="658">Q257*R257</f>
        <v>45.75</v>
      </c>
      <c r="T257" s="61">
        <f t="shared" ref="T257:T259" si="659">S257/2</f>
        <v>22.875</v>
      </c>
      <c r="U257" s="61">
        <f t="shared" si="627"/>
        <v>57.125</v>
      </c>
      <c r="V257" s="61"/>
      <c r="W257" s="61">
        <f t="shared" si="654"/>
        <v>57.975975830259024</v>
      </c>
      <c r="X257" s="61">
        <f t="shared" si="655"/>
        <v>20.542241364170351</v>
      </c>
      <c r="Y257" s="61">
        <f>SQRT(X257*X257+U257*U257)</f>
        <v>60.706254251632359</v>
      </c>
      <c r="Z257" s="69">
        <f>DEGREES(ASIN(X257/Y257))</f>
        <v>19.778666039194828</v>
      </c>
      <c r="AA257" s="69">
        <f t="shared" si="630"/>
        <v>39.562635777350735</v>
      </c>
      <c r="AB257" s="4">
        <f t="shared" si="631"/>
        <v>59.341301816545567</v>
      </c>
      <c r="AC257" s="70">
        <f t="shared" si="656"/>
        <v>-10.359435619636159</v>
      </c>
      <c r="AD257" s="69">
        <f t="shared" si="639"/>
        <v>111.97494839531734</v>
      </c>
      <c r="AE257" s="71">
        <f t="shared" si="657"/>
        <v>0.86458884986477358</v>
      </c>
      <c r="AF257" s="59"/>
      <c r="AG257" s="128">
        <f t="shared" si="640"/>
        <v>-12</v>
      </c>
      <c r="AH257" s="128">
        <f t="shared" si="634"/>
        <v>-10.359435619636159</v>
      </c>
      <c r="AI257" s="128">
        <f t="shared" si="641"/>
        <v>11.224024469500911</v>
      </c>
      <c r="AJ257" s="128">
        <f t="shared" si="635"/>
        <v>0.86458884986477358</v>
      </c>
      <c r="AK257" s="128">
        <f t="shared" si="642"/>
        <v>25.756340375743164</v>
      </c>
      <c r="AL257" s="59"/>
      <c r="AM257" s="59"/>
      <c r="AN257" s="59"/>
      <c r="AO257" s="59"/>
      <c r="AP257" s="59"/>
      <c r="AQ257" s="59"/>
    </row>
    <row r="258" spans="1:43">
      <c r="A258" s="59"/>
      <c r="B258" s="20">
        <f t="shared" si="636"/>
        <v>183</v>
      </c>
      <c r="C258" s="18">
        <f t="shared" si="648"/>
        <v>162.89629500000001</v>
      </c>
      <c r="D258" s="63">
        <f t="shared" si="637"/>
        <v>62.116210616190472</v>
      </c>
      <c r="E258" s="63">
        <f t="shared" si="637"/>
        <v>88</v>
      </c>
      <c r="F258" s="63">
        <f t="shared" si="637"/>
        <v>160</v>
      </c>
      <c r="G258" s="63">
        <f t="shared" si="637"/>
        <v>20</v>
      </c>
      <c r="H258" s="146">
        <f t="shared" si="649"/>
        <v>57.057381964494638</v>
      </c>
      <c r="I258" s="20"/>
      <c r="J258" s="63"/>
      <c r="K258" s="69">
        <f t="shared" si="650"/>
        <v>15.647759855223782</v>
      </c>
      <c r="L258" s="63">
        <f t="shared" si="638"/>
        <v>75.529404498953284</v>
      </c>
      <c r="M258" s="41">
        <f t="shared" si="651"/>
        <v>16</v>
      </c>
      <c r="N258" s="61"/>
      <c r="O258" s="61"/>
      <c r="P258" s="23">
        <f t="shared" si="652"/>
        <v>1</v>
      </c>
      <c r="Q258" s="20">
        <f t="shared" si="625"/>
        <v>183</v>
      </c>
      <c r="R258" s="23">
        <f t="shared" si="653"/>
        <v>0.25</v>
      </c>
      <c r="S258" s="61">
        <f t="shared" si="658"/>
        <v>45.75</v>
      </c>
      <c r="T258" s="61">
        <f t="shared" si="659"/>
        <v>22.875</v>
      </c>
      <c r="U258" s="61">
        <f t="shared" si="627"/>
        <v>57.125</v>
      </c>
      <c r="V258" s="61"/>
      <c r="W258" s="61">
        <f t="shared" si="654"/>
        <v>57.975975830259024</v>
      </c>
      <c r="X258" s="61">
        <f t="shared" si="655"/>
        <v>16.542241364170351</v>
      </c>
      <c r="Y258" s="61">
        <f t="shared" ref="Y258:Y259" si="660">SQRT(X258*X258+U258*U258)</f>
        <v>59.471937704689502</v>
      </c>
      <c r="Z258" s="69">
        <f t="shared" ref="Z258:Z259" si="661">DEGREES(ASIN(X258/Y258))</f>
        <v>16.149944166740848</v>
      </c>
      <c r="AA258" s="69">
        <f t="shared" si="630"/>
        <v>39.369428947671672</v>
      </c>
      <c r="AB258" s="4">
        <f t="shared" si="631"/>
        <v>55.519373114412517</v>
      </c>
      <c r="AC258" s="70">
        <f t="shared" si="656"/>
        <v>-14.181364321769209</v>
      </c>
      <c r="AD258" s="69">
        <f t="shared" si="639"/>
        <v>112.57675507890715</v>
      </c>
      <c r="AE258" s="71">
        <f t="shared" si="657"/>
        <v>1.4663955334545875</v>
      </c>
      <c r="AF258" s="59"/>
      <c r="AG258" s="128">
        <f t="shared" si="640"/>
        <v>-16</v>
      </c>
      <c r="AH258" s="128">
        <f t="shared" si="634"/>
        <v>-14.181364321769209</v>
      </c>
      <c r="AI258" s="128">
        <f t="shared" si="641"/>
        <v>15.647759855223782</v>
      </c>
      <c r="AJ258" s="128">
        <f t="shared" si="635"/>
        <v>1.4663955334545875</v>
      </c>
      <c r="AK258" s="128">
        <f t="shared" si="642"/>
        <v>37.116210616190472</v>
      </c>
      <c r="AL258" s="59"/>
      <c r="AM258" s="59"/>
      <c r="AN258" s="59"/>
      <c r="AO258" s="59"/>
      <c r="AP258" s="59"/>
      <c r="AQ258" s="59"/>
    </row>
    <row r="259" spans="1:43">
      <c r="A259" s="59"/>
      <c r="B259" s="20">
        <f t="shared" si="636"/>
        <v>183</v>
      </c>
      <c r="C259" s="18">
        <f t="shared" si="648"/>
        <v>162.89629500000001</v>
      </c>
      <c r="D259" s="63">
        <f t="shared" si="637"/>
        <v>75.736750121019654</v>
      </c>
      <c r="E259" s="63">
        <f t="shared" si="637"/>
        <v>88</v>
      </c>
      <c r="F259" s="63">
        <f t="shared" si="637"/>
        <v>160</v>
      </c>
      <c r="G259" s="63">
        <f t="shared" si="637"/>
        <v>20</v>
      </c>
      <c r="H259" s="146">
        <f t="shared" si="649"/>
        <v>62.087074972301828</v>
      </c>
      <c r="I259" s="20"/>
      <c r="J259" s="63"/>
      <c r="K259" s="69">
        <f t="shared" si="650"/>
        <v>20.677452863030972</v>
      </c>
      <c r="L259" s="63">
        <f t="shared" si="638"/>
        <v>79.529404498953284</v>
      </c>
      <c r="M259" s="41">
        <f t="shared" si="651"/>
        <v>20</v>
      </c>
      <c r="N259" s="61"/>
      <c r="O259" s="61"/>
      <c r="P259" s="23">
        <f>P$254</f>
        <v>1</v>
      </c>
      <c r="Q259" s="20">
        <f t="shared" si="625"/>
        <v>183</v>
      </c>
      <c r="R259" s="23">
        <f>R$254</f>
        <v>0.25</v>
      </c>
      <c r="S259" s="61">
        <f t="shared" si="658"/>
        <v>45.75</v>
      </c>
      <c r="T259" s="61">
        <f t="shared" si="659"/>
        <v>22.875</v>
      </c>
      <c r="U259" s="61">
        <f t="shared" si="627"/>
        <v>57.125</v>
      </c>
      <c r="V259" s="61"/>
      <c r="W259" s="61">
        <f t="shared" si="654"/>
        <v>57.975975830259024</v>
      </c>
      <c r="X259" s="61">
        <f>X$254-M259</f>
        <v>12.542241364170351</v>
      </c>
      <c r="Y259" s="61">
        <f t="shared" si="660"/>
        <v>58.48566870129045</v>
      </c>
      <c r="Z259" s="69">
        <f t="shared" si="661"/>
        <v>12.383251703872345</v>
      </c>
      <c r="AA259" s="69">
        <f t="shared" si="630"/>
        <v>39.189723329299341</v>
      </c>
      <c r="AB259" s="4">
        <f t="shared" si="631"/>
        <v>51.572975033171687</v>
      </c>
      <c r="AC259" s="70">
        <f>AB259-AB$254</f>
        <v>-18.127762403010038</v>
      </c>
      <c r="AD259" s="69">
        <f t="shared" si="639"/>
        <v>113.66005000547352</v>
      </c>
      <c r="AE259" s="71">
        <f>H259+AB259-I$254</f>
        <v>2.5496904600209547</v>
      </c>
      <c r="AF259" s="59"/>
      <c r="AG259" s="128">
        <f t="shared" si="640"/>
        <v>-20</v>
      </c>
      <c r="AH259" s="128">
        <f t="shared" si="634"/>
        <v>-18.127762403010038</v>
      </c>
      <c r="AI259" s="128">
        <f t="shared" si="641"/>
        <v>20.677452863030972</v>
      </c>
      <c r="AJ259" s="128">
        <f t="shared" si="635"/>
        <v>2.5496904600209547</v>
      </c>
      <c r="AK259" s="128">
        <f t="shared" si="642"/>
        <v>50.736750121019654</v>
      </c>
      <c r="AL259" s="59"/>
      <c r="AM259" s="59"/>
      <c r="AN259" s="59"/>
      <c r="AO259" s="59"/>
      <c r="AP259" s="59"/>
      <c r="AQ259" s="59"/>
    </row>
    <row r="260" spans="1:43">
      <c r="A260" s="12"/>
      <c r="B260" s="5"/>
      <c r="C260" s="13"/>
      <c r="D260" s="5"/>
      <c r="E260" s="5"/>
      <c r="F260" s="5"/>
      <c r="G260" s="5"/>
      <c r="H260" s="13"/>
      <c r="I260" s="104"/>
      <c r="J260" s="13"/>
      <c r="K260" s="13"/>
      <c r="L260" s="13"/>
      <c r="M260" s="45"/>
      <c r="N260" s="13"/>
      <c r="O260" s="13"/>
      <c r="P260" s="103"/>
      <c r="Q260" s="23"/>
      <c r="R260" s="103"/>
      <c r="S260" s="13"/>
      <c r="T260" s="13"/>
      <c r="U260" s="13"/>
      <c r="V260" s="13"/>
      <c r="W260" s="13"/>
      <c r="X260" s="13"/>
      <c r="Y260" s="13"/>
      <c r="Z260" s="104"/>
      <c r="AA260" s="104"/>
      <c r="AB260" s="104"/>
      <c r="AC260" s="109"/>
      <c r="AD260" s="104"/>
      <c r="AE260" s="109"/>
      <c r="AF260" s="12"/>
      <c r="AG260" s="12"/>
      <c r="AH260" s="12"/>
      <c r="AI260" s="12"/>
      <c r="AJ260" s="12"/>
      <c r="AK260" s="12"/>
      <c r="AL260" s="59"/>
      <c r="AM260" s="59"/>
      <c r="AN260" s="59"/>
      <c r="AO260" s="59"/>
      <c r="AP260" s="59"/>
      <c r="AQ260" s="59"/>
    </row>
    <row r="261" spans="1:43" ht="15.75" thickBot="1">
      <c r="A261" s="87"/>
      <c r="B261" s="87"/>
      <c r="C261" s="100"/>
      <c r="D261" s="87"/>
      <c r="E261" s="87"/>
      <c r="F261" s="87"/>
      <c r="G261" s="87"/>
      <c r="H261" s="100"/>
      <c r="I261" s="101"/>
      <c r="J261" s="100"/>
      <c r="K261" s="100"/>
      <c r="L261" s="100"/>
      <c r="M261" s="112"/>
      <c r="N261" s="100"/>
      <c r="O261" s="100"/>
      <c r="P261" s="106"/>
      <c r="Q261" s="87"/>
      <c r="R261" s="106"/>
      <c r="S261" s="100"/>
      <c r="T261" s="100"/>
      <c r="U261" s="100"/>
      <c r="V261" s="100"/>
      <c r="W261" s="100"/>
      <c r="X261" s="100"/>
      <c r="Y261" s="100"/>
      <c r="Z261" s="101"/>
      <c r="AA261" s="101"/>
      <c r="AB261" s="101"/>
      <c r="AC261" s="113"/>
      <c r="AD261" s="101"/>
      <c r="AE261" s="113"/>
      <c r="AF261" s="87"/>
      <c r="AG261" s="87"/>
      <c r="AH261" s="87"/>
      <c r="AI261" s="87"/>
      <c r="AJ261" s="87"/>
      <c r="AK261" s="87"/>
      <c r="AL261" s="59"/>
      <c r="AM261" s="59"/>
      <c r="AN261" s="59"/>
      <c r="AO261" s="59"/>
      <c r="AP261" s="59"/>
      <c r="AQ261" s="59"/>
    </row>
  </sheetData>
  <mergeCells count="26">
    <mergeCell ref="T18:AA18"/>
    <mergeCell ref="AB18:AC18"/>
    <mergeCell ref="G10:I10"/>
    <mergeCell ref="B14:F14"/>
    <mergeCell ref="G14:I14"/>
    <mergeCell ref="J14:M14"/>
    <mergeCell ref="N14:P14"/>
    <mergeCell ref="Q14:S14"/>
    <mergeCell ref="T15:AA15"/>
    <mergeCell ref="T16:AA16"/>
    <mergeCell ref="AB16:AC16"/>
    <mergeCell ref="T17:AA17"/>
    <mergeCell ref="AB17:AC17"/>
    <mergeCell ref="T19:AA19"/>
    <mergeCell ref="AB19:AC19"/>
    <mergeCell ref="T20:AA20"/>
    <mergeCell ref="AB20:AC20"/>
    <mergeCell ref="T21:AA21"/>
    <mergeCell ref="AB21:AC21"/>
    <mergeCell ref="M247:N247"/>
    <mergeCell ref="M46:N46"/>
    <mergeCell ref="M93:N93"/>
    <mergeCell ref="M124:N124"/>
    <mergeCell ref="M154:N154"/>
    <mergeCell ref="M185:N185"/>
    <mergeCell ref="M216:N2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Sculls</vt:lpstr>
      <vt:lpstr>Sweep</vt:lpstr>
      <vt:lpstr>Sheet3</vt:lpstr>
      <vt:lpstr>Sculls!Print_Area</vt:lpstr>
    </vt:vector>
  </TitlesOfParts>
  <Company>TheStrateg-e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Nero</dc:creator>
  <cp:lastModifiedBy>Stephen Nero</cp:lastModifiedBy>
  <cp:lastPrinted>2012-04-19T16:45:51Z</cp:lastPrinted>
  <dcterms:created xsi:type="dcterms:W3CDTF">2012-03-09T08:13:39Z</dcterms:created>
  <dcterms:modified xsi:type="dcterms:W3CDTF">2013-01-22T23:00:18Z</dcterms:modified>
</cp:coreProperties>
</file>